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mivsp-my.sharepoint.com/personal/divakar_kadupu_valuemomentum_com/Documents/Documents/"/>
    </mc:Choice>
  </mc:AlternateContent>
  <xr:revisionPtr revIDLastSave="10039" documentId="13_ncr:1_{B3263407-C181-40E2-B83E-472A1F86EBD5}" xr6:coauthVersionLast="47" xr6:coauthVersionMax="47" xr10:uidLastSave="{F821156E-D8EC-4730-A9DA-DAE4C8FED5BE}"/>
  <bookViews>
    <workbookView xWindow="-28920" yWindow="-45" windowWidth="29040" windowHeight="15720" tabRatio="765" firstSheet="8" activeTab="8" xr2:uid="{00000000-000D-0000-FFFF-FFFF00000000}"/>
  </bookViews>
  <sheets>
    <sheet name="Dues From 13-Oct-17" sheetId="32" state="hidden" r:id="rId1"/>
    <sheet name="New vs Old Tax Regime" sheetId="57" state="hidden" r:id="rId2"/>
    <sheet name="Rent 302" sheetId="69" state="hidden" r:id="rId3"/>
    <sheet name="Zerodha" sheetId="58" state="hidden" r:id="rId4"/>
    <sheet name="Sheet3" sheetId="70" state="hidden" r:id="rId5"/>
    <sheet name="UpStox" sheetId="55" state="hidden" r:id="rId6"/>
    <sheet name="MyCards" sheetId="72" state="hidden" r:id="rId7"/>
    <sheet name="Chart1" sheetId="74" state="hidden" r:id="rId8"/>
    <sheet name="Dues" sheetId="1" r:id="rId9"/>
    <sheet name="Hisaab" sheetId="93" r:id="rId10"/>
    <sheet name="Dues Analysis" sheetId="81" state="hidden" r:id="rId11"/>
    <sheet name="MAB" sheetId="21" r:id="rId12"/>
    <sheet name="NPS" sheetId="83" r:id="rId13"/>
    <sheet name="My CCs" sheetId="61" r:id="rId14"/>
    <sheet name="Tax 24-25" sheetId="92" r:id="rId15"/>
    <sheet name="ICICI OD" sheetId="91" r:id="rId16"/>
    <sheet name="Narendra" sheetId="90" r:id="rId17"/>
    <sheet name="US Bills" sheetId="89" r:id="rId18"/>
    <sheet name="US Spends" sheetId="88" r:id="rId19"/>
    <sheet name="08-Oct-23" sheetId="85" r:id="rId20"/>
    <sheet name="Gold Loan" sheetId="75" r:id="rId21"/>
    <sheet name="GL-Diva-01" sheetId="76" r:id="rId22"/>
    <sheet name="GL-Diva-02" sheetId="77" r:id="rId23"/>
    <sheet name="GL-Bhargu-01" sheetId="78" r:id="rId24"/>
    <sheet name="GL-Bhargu-02" sheetId="79" r:id="rId25"/>
    <sheet name="GL-GSRam-01" sheetId="80" state="hidden" r:id="rId26"/>
    <sheet name="Princ Outstandings" sheetId="73" state="hidden" r:id="rId27"/>
    <sheet name="Kotak LI" sheetId="66" state="hidden" r:id="rId28"/>
    <sheet name="Kids" sheetId="63" state="hidden" r:id="rId29"/>
    <sheet name="Bajaj-Fin" sheetId="67" r:id="rId30"/>
    <sheet name="Upstox-Zerodha" sheetId="59" state="hidden" r:id="rId31"/>
    <sheet name="Cred Cashbacks" sheetId="62" state="hidden" r:id="rId32"/>
    <sheet name="CardPayments" sheetId="64" state="hidden" r:id="rId33"/>
    <sheet name="Debts" sheetId="65" state="hidden" r:id="rId34"/>
    <sheet name="Passwords" sheetId="24" r:id="rId35"/>
    <sheet name="Sal" sheetId="87" r:id="rId36"/>
    <sheet name="HL" sheetId="82" r:id="rId37"/>
    <sheet name="DevOps Course" sheetId="84" r:id="rId38"/>
    <sheet name="TrustAlgo" sheetId="86" r:id="rId39"/>
    <sheet name="Zen Salary" sheetId="31" state="hidden" r:id="rId40"/>
    <sheet name="Demat+Investments" sheetId="29" r:id="rId41"/>
    <sheet name="ICICI CC Loan" sheetId="68" state="hidden" r:id="rId42"/>
    <sheet name="Citi 6.3 Loan" sheetId="60" state="hidden" r:id="rId43"/>
    <sheet name="Policies" sheetId="52" state="hidden" r:id="rId44"/>
    <sheet name="Car Loan" sheetId="45" state="hidden" r:id="rId45"/>
    <sheet name="My PLs" sheetId="37" state="hidden" r:id="rId46"/>
    <sheet name="My Total Dues (PLs)" sheetId="47" state="hidden" r:id="rId47"/>
    <sheet name="PayStructure" sheetId="22" state="hidden" r:id="rId48"/>
    <sheet name="Nonu 1st Birthday" sheetId="28" state="hidden" r:id="rId49"/>
    <sheet name="HDFC-2014 PL" sheetId="26" state="hidden" r:id="rId50"/>
    <sheet name="My PLs OLD" sheetId="49" state="hidden" r:id="rId51"/>
    <sheet name="For Work at Flat" sheetId="18" state="hidden" r:id="rId52"/>
    <sheet name="Land" sheetId="3" state="hidden" r:id="rId53"/>
    <sheet name="Sheet1" sheetId="4" state="hidden" r:id="rId54"/>
    <sheet name="Loans" sheetId="43" state="hidden" r:id="rId55"/>
    <sheet name="Sheet2" sheetId="44" state="hidden" r:id="rId56"/>
    <sheet name="PF" sheetId="50" state="hidden" r:id="rId57"/>
  </sheets>
  <definedNames>
    <definedName name="_xlnm._FilterDatabase" localSheetId="8" hidden="1">Dues!$A$2:$AJ$38</definedName>
    <definedName name="_xlnm._FilterDatabase" localSheetId="10" hidden="1">'Dues Analysis'!$A$2:$AJ$38</definedName>
    <definedName name="_xlnm._FilterDatabase" localSheetId="0" hidden="1">'Dues From 13-Oct-17'!$A$1:$I$47</definedName>
    <definedName name="_xlnm._FilterDatabase" localSheetId="13" hidden="1">'My CCs'!$A$3:$V$4</definedName>
    <definedName name="_xlnm._FilterDatabase" localSheetId="17" hidden="1">'US Bills'!$A$2:$F$100</definedName>
    <definedName name="_xlchart.v1.0" hidden="1">'US Bills'!$A$3:$C$151</definedName>
    <definedName name="_xlchart.v1.1" hidden="1">'US Bills'!$D$2</definedName>
    <definedName name="_xlchart.v1.2" hidden="1">'US Bills'!$D$3:$D$151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93" l="1"/>
  <c r="E1" i="93" s="1"/>
  <c r="C1" i="93"/>
  <c r="CZ7" i="1"/>
  <c r="DA7" i="1"/>
  <c r="DB7" i="1"/>
  <c r="DC7" i="1"/>
  <c r="CZ6" i="1"/>
  <c r="DA6" i="1"/>
  <c r="DB6" i="1"/>
  <c r="DB39" i="1" s="1"/>
  <c r="DB51" i="1" s="1"/>
  <c r="CZ2" i="1"/>
  <c r="DA2" i="1"/>
  <c r="DB2" i="1"/>
  <c r="DC5" i="1"/>
  <c r="CZ5" i="1"/>
  <c r="DA5" i="1"/>
  <c r="DB5" i="1"/>
  <c r="DC6" i="1"/>
  <c r="DC4" i="1"/>
  <c r="DC3" i="1"/>
  <c r="DC2" i="1"/>
  <c r="DB3" i="1"/>
  <c r="DA3" i="1"/>
  <c r="CZ3" i="1"/>
  <c r="CP3" i="1"/>
  <c r="CY2" i="1"/>
  <c r="CX2" i="1"/>
  <c r="CW2" i="1"/>
  <c r="CV2" i="1"/>
  <c r="CU2" i="1"/>
  <c r="CT2" i="1"/>
  <c r="CS2" i="1"/>
  <c r="CR2" i="1"/>
  <c r="CQ2" i="1"/>
  <c r="M1" i="92"/>
  <c r="P13" i="92"/>
  <c r="O4" i="92"/>
  <c r="O5" i="92"/>
  <c r="O6" i="92"/>
  <c r="O7" i="92"/>
  <c r="O8" i="92"/>
  <c r="O9" i="92"/>
  <c r="O10" i="92"/>
  <c r="O11" i="92"/>
  <c r="O12" i="92"/>
  <c r="O13" i="92"/>
  <c r="O14" i="92"/>
  <c r="O3" i="92"/>
  <c r="I4" i="92"/>
  <c r="P4" i="92" s="1"/>
  <c r="I5" i="92"/>
  <c r="P5" i="92" s="1"/>
  <c r="I6" i="92"/>
  <c r="I7" i="92"/>
  <c r="I8" i="92"/>
  <c r="I9" i="92"/>
  <c r="P9" i="92" s="1"/>
  <c r="I10" i="92"/>
  <c r="P10" i="92" s="1"/>
  <c r="I11" i="92"/>
  <c r="P11" i="92" s="1"/>
  <c r="I12" i="92"/>
  <c r="P12" i="92" s="1"/>
  <c r="I13" i="92"/>
  <c r="I14" i="92"/>
  <c r="P14" i="92" s="1"/>
  <c r="I3" i="92"/>
  <c r="P3" i="92" s="1"/>
  <c r="H1" i="92"/>
  <c r="C1" i="92"/>
  <c r="D1" i="92"/>
  <c r="E1" i="92"/>
  <c r="F1" i="92"/>
  <c r="G1" i="92"/>
  <c r="J1" i="92"/>
  <c r="K1" i="92"/>
  <c r="L1" i="92"/>
  <c r="B1" i="92"/>
  <c r="N1" i="92"/>
  <c r="DE20" i="1"/>
  <c r="W7" i="61"/>
  <c r="M7" i="61"/>
  <c r="Q7" i="61" s="1"/>
  <c r="DC39" i="1" l="1"/>
  <c r="DC51" i="1" s="1"/>
  <c r="DA39" i="1"/>
  <c r="DA51" i="1" s="1"/>
  <c r="CZ39" i="1"/>
  <c r="CZ51" i="1" s="1"/>
  <c r="P8" i="92"/>
  <c r="P7" i="92"/>
  <c r="P6" i="92"/>
  <c r="O1" i="92"/>
  <c r="I1" i="92"/>
  <c r="CY7" i="1"/>
  <c r="CY6" i="1"/>
  <c r="CY5" i="1"/>
  <c r="CY4" i="1"/>
  <c r="CY3" i="1"/>
  <c r="CX7" i="1"/>
  <c r="CX6" i="1"/>
  <c r="CX5" i="1"/>
  <c r="CX4" i="1"/>
  <c r="CX3" i="1"/>
  <c r="CW7" i="1"/>
  <c r="CW6" i="1"/>
  <c r="CW5" i="1"/>
  <c r="CW4" i="1"/>
  <c r="CW3" i="1"/>
  <c r="CN3" i="1"/>
  <c r="CO3" i="1"/>
  <c r="CQ3" i="1"/>
  <c r="CR3" i="1"/>
  <c r="CS3" i="1"/>
  <c r="CT3" i="1"/>
  <c r="CU3" i="1"/>
  <c r="CV3" i="1"/>
  <c r="CM3" i="1"/>
  <c r="M5" i="61"/>
  <c r="Q5" i="61" s="1"/>
  <c r="M2" i="61"/>
  <c r="B9" i="91"/>
  <c r="J1" i="90"/>
  <c r="G12" i="90" s="1"/>
  <c r="M19" i="90"/>
  <c r="D1" i="90"/>
  <c r="G23" i="90" s="1"/>
  <c r="G1" i="90" s="1"/>
  <c r="BH34" i="21"/>
  <c r="BG34" i="21"/>
  <c r="BF34" i="21"/>
  <c r="BE34" i="21"/>
  <c r="BI32" i="21"/>
  <c r="BI31" i="21"/>
  <c r="BI30" i="21"/>
  <c r="BI29" i="21"/>
  <c r="BI28" i="21"/>
  <c r="BI27" i="21"/>
  <c r="BI26" i="21"/>
  <c r="BI25" i="21"/>
  <c r="BI24" i="21"/>
  <c r="BI23" i="21"/>
  <c r="BI22" i="21"/>
  <c r="BI21" i="21"/>
  <c r="BI20" i="21"/>
  <c r="BI19" i="21"/>
  <c r="BI18" i="21"/>
  <c r="BI17" i="21"/>
  <c r="BI16" i="21"/>
  <c r="BI15" i="21"/>
  <c r="BI14" i="21"/>
  <c r="BI13" i="21"/>
  <c r="BI12" i="21"/>
  <c r="BI11" i="21"/>
  <c r="BI10" i="21"/>
  <c r="BI9" i="21"/>
  <c r="BI8" i="21"/>
  <c r="BI7" i="21"/>
  <c r="BI6" i="21"/>
  <c r="BI5" i="21"/>
  <c r="BI4" i="21"/>
  <c r="BI3" i="21"/>
  <c r="BI2" i="21"/>
  <c r="K23" i="88"/>
  <c r="D126" i="89"/>
  <c r="J23" i="88"/>
  <c r="K20" i="88"/>
  <c r="J12" i="88"/>
  <c r="J15" i="88" s="1"/>
  <c r="B1" i="88"/>
  <c r="C13" i="88"/>
  <c r="P1" i="92" l="1"/>
  <c r="CY39" i="1"/>
  <c r="CY51" i="1" s="1"/>
  <c r="CX39" i="1"/>
  <c r="CX51" i="1" s="1"/>
  <c r="BI34" i="21"/>
  <c r="J26" i="88"/>
  <c r="G1" i="89"/>
  <c r="CV6" i="1"/>
  <c r="CU6" i="1"/>
  <c r="CT6" i="1"/>
  <c r="CS6" i="1"/>
  <c r="CR6" i="1"/>
  <c r="CQ6" i="1"/>
  <c r="J1" i="89"/>
  <c r="O1" i="89" s="1"/>
  <c r="AV34" i="21"/>
  <c r="D1" i="89"/>
  <c r="R34" i="89" s="1"/>
  <c r="R37" i="89" s="1"/>
  <c r="AW34" i="21"/>
  <c r="AX34" i="21"/>
  <c r="AY34" i="21"/>
  <c r="AZ32" i="21"/>
  <c r="AZ31" i="21"/>
  <c r="AZ30" i="21"/>
  <c r="AZ29" i="21"/>
  <c r="AZ28" i="21"/>
  <c r="AZ27" i="21"/>
  <c r="AZ26" i="21"/>
  <c r="AZ25" i="21"/>
  <c r="AZ24" i="21"/>
  <c r="AZ23" i="21"/>
  <c r="AZ22" i="21"/>
  <c r="AZ21" i="21"/>
  <c r="AZ20" i="21"/>
  <c r="AZ19" i="21"/>
  <c r="AZ18" i="21"/>
  <c r="AZ17" i="21"/>
  <c r="AZ16" i="21"/>
  <c r="AZ15" i="21"/>
  <c r="AZ14" i="21"/>
  <c r="AZ13" i="21"/>
  <c r="AZ12" i="21"/>
  <c r="AZ11" i="21"/>
  <c r="AZ10" i="21"/>
  <c r="AZ9" i="21"/>
  <c r="AZ8" i="21"/>
  <c r="AZ7" i="21"/>
  <c r="AZ6" i="21"/>
  <c r="AZ5" i="21"/>
  <c r="AZ4" i="21"/>
  <c r="AZ3" i="21"/>
  <c r="AZ2" i="21"/>
  <c r="AQ32" i="21"/>
  <c r="AZ34" i="21" l="1"/>
  <c r="AP34" i="21"/>
  <c r="AO34" i="21"/>
  <c r="AN34" i="21"/>
  <c r="AM34" i="21"/>
  <c r="AQ31" i="21"/>
  <c r="AQ30" i="21"/>
  <c r="AQ29" i="21"/>
  <c r="AQ28" i="21"/>
  <c r="AQ27" i="21"/>
  <c r="AQ26" i="21"/>
  <c r="AQ25" i="21"/>
  <c r="AQ24" i="21"/>
  <c r="AQ23" i="21"/>
  <c r="AQ22" i="21"/>
  <c r="AQ21" i="21"/>
  <c r="AQ20" i="21"/>
  <c r="AQ19" i="21"/>
  <c r="AQ18" i="21"/>
  <c r="AQ17" i="21"/>
  <c r="AQ16" i="21"/>
  <c r="AQ15" i="21"/>
  <c r="AQ14" i="21"/>
  <c r="AQ13" i="21"/>
  <c r="AQ12" i="21"/>
  <c r="AQ11" i="21"/>
  <c r="AQ10" i="21"/>
  <c r="AQ9" i="21"/>
  <c r="AQ8" i="21"/>
  <c r="AQ7" i="21"/>
  <c r="AQ6" i="21"/>
  <c r="AQ5" i="21"/>
  <c r="AQ4" i="21"/>
  <c r="AQ3" i="21"/>
  <c r="AQ2" i="21"/>
  <c r="I14" i="87"/>
  <c r="J14" i="87"/>
  <c r="I7" i="87"/>
  <c r="C20" i="87"/>
  <c r="Z14" i="87"/>
  <c r="C19" i="87"/>
  <c r="O14" i="87"/>
  <c r="P14" i="87"/>
  <c r="Q14" i="87"/>
  <c r="R14" i="87"/>
  <c r="S14" i="87"/>
  <c r="T14" i="87"/>
  <c r="U14" i="87"/>
  <c r="V14" i="87"/>
  <c r="W14" i="87"/>
  <c r="X14" i="87"/>
  <c r="Y14" i="87"/>
  <c r="M14" i="87"/>
  <c r="N14" i="87"/>
  <c r="AE34" i="21"/>
  <c r="AF34" i="21"/>
  <c r="AG34" i="21"/>
  <c r="AD34" i="21"/>
  <c r="AH31" i="21"/>
  <c r="AH30" i="21"/>
  <c r="AH29" i="21"/>
  <c r="AH28" i="21"/>
  <c r="AH27" i="21"/>
  <c r="AH26" i="21"/>
  <c r="AH25" i="21"/>
  <c r="AH24" i="21"/>
  <c r="AH23" i="21"/>
  <c r="AH22" i="21"/>
  <c r="AH21" i="21"/>
  <c r="AH20" i="21"/>
  <c r="AH19" i="21"/>
  <c r="AH18" i="21"/>
  <c r="AH17" i="21"/>
  <c r="AH16" i="21"/>
  <c r="AH15" i="21"/>
  <c r="AH14" i="21"/>
  <c r="AH13" i="21"/>
  <c r="AH12" i="21"/>
  <c r="AH11" i="21"/>
  <c r="AH10" i="21"/>
  <c r="AH9" i="21"/>
  <c r="AH8" i="21"/>
  <c r="AH7" i="21"/>
  <c r="AH6" i="21"/>
  <c r="AH5" i="21"/>
  <c r="AH4" i="21"/>
  <c r="AH3" i="21"/>
  <c r="AH2" i="21"/>
  <c r="AQ34" i="21" l="1"/>
  <c r="AH34" i="21"/>
  <c r="L14" i="87"/>
  <c r="Q32" i="21"/>
  <c r="W34" i="21"/>
  <c r="X34" i="21"/>
  <c r="Y34" i="21"/>
  <c r="V34" i="21"/>
  <c r="Z31" i="21"/>
  <c r="Z30" i="21"/>
  <c r="Z29" i="21"/>
  <c r="Z28" i="21"/>
  <c r="Z27" i="21"/>
  <c r="Z26" i="21"/>
  <c r="Z25" i="21"/>
  <c r="Z24" i="21"/>
  <c r="Z23" i="21"/>
  <c r="Z22" i="21"/>
  <c r="Z21" i="21"/>
  <c r="Z20" i="21"/>
  <c r="Z19" i="21"/>
  <c r="Z18" i="21"/>
  <c r="Z17" i="21"/>
  <c r="Z16" i="21"/>
  <c r="Z15" i="21"/>
  <c r="Z14" i="21"/>
  <c r="Z13" i="21"/>
  <c r="Z12" i="21"/>
  <c r="Z11" i="21"/>
  <c r="Z10" i="21"/>
  <c r="Z9" i="21"/>
  <c r="Z8" i="21"/>
  <c r="Z7" i="21"/>
  <c r="Z6" i="21"/>
  <c r="Z5" i="21"/>
  <c r="Z4" i="21"/>
  <c r="Z3" i="21"/>
  <c r="Z2" i="21"/>
  <c r="F5" i="87"/>
  <c r="F6" i="87"/>
  <c r="E4" i="87"/>
  <c r="F4" i="87" s="1"/>
  <c r="E5" i="87"/>
  <c r="E6" i="87"/>
  <c r="E7" i="87"/>
  <c r="F7" i="87" s="1"/>
  <c r="E3" i="87"/>
  <c r="F3" i="87" s="1"/>
  <c r="C16" i="87"/>
  <c r="B16" i="87"/>
  <c r="C1" i="87"/>
  <c r="B1" i="87"/>
  <c r="Z34" i="21" l="1"/>
  <c r="F5" i="86"/>
  <c r="F1" i="86"/>
  <c r="M39" i="75"/>
  <c r="L39" i="75"/>
  <c r="C1" i="85"/>
  <c r="Y24" i="61"/>
  <c r="AC24" i="61"/>
  <c r="AC26" i="61" s="1"/>
  <c r="CV5" i="1"/>
  <c r="CU5" i="1"/>
  <c r="CT5" i="1"/>
  <c r="CS5" i="1"/>
  <c r="CR5" i="1"/>
  <c r="CQ5" i="1"/>
  <c r="CV4" i="1"/>
  <c r="CU4" i="1"/>
  <c r="CT4" i="1"/>
  <c r="CS4" i="1"/>
  <c r="CR4" i="1"/>
  <c r="CQ4" i="1"/>
  <c r="N34" i="21"/>
  <c r="O34" i="21"/>
  <c r="P34" i="21"/>
  <c r="M34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Q15" i="21"/>
  <c r="Q14" i="21"/>
  <c r="Q13" i="21"/>
  <c r="Q12" i="21"/>
  <c r="Q11" i="21"/>
  <c r="Q10" i="21"/>
  <c r="Q9" i="21"/>
  <c r="Q8" i="21"/>
  <c r="Q7" i="21"/>
  <c r="Q6" i="21"/>
  <c r="Q5" i="21"/>
  <c r="Q4" i="21"/>
  <c r="Q3" i="21"/>
  <c r="Q2" i="21"/>
  <c r="B1" i="83"/>
  <c r="E1" i="83" s="1"/>
  <c r="E2" i="83" s="1"/>
  <c r="M3" i="6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F34" i="21"/>
  <c r="G34" i="21"/>
  <c r="H34" i="21"/>
  <c r="E34" i="21"/>
  <c r="AB2" i="61"/>
  <c r="W5" i="61"/>
  <c r="L8" i="82"/>
  <c r="C1" i="82"/>
  <c r="BO48" i="21"/>
  <c r="BQ48" i="21" s="1"/>
  <c r="AF106" i="81"/>
  <c r="AF108" i="81" s="1"/>
  <c r="DB82" i="81"/>
  <c r="DA82" i="81"/>
  <c r="DD80" i="81"/>
  <c r="DE80" i="81" s="1"/>
  <c r="DC80" i="81"/>
  <c r="CW77" i="81"/>
  <c r="CW76" i="81"/>
  <c r="DG73" i="81"/>
  <c r="EF65" i="81"/>
  <c r="EF64" i="81"/>
  <c r="EF63" i="81"/>
  <c r="DB63" i="81"/>
  <c r="EL62" i="81"/>
  <c r="EM62" i="81" s="1"/>
  <c r="EF62" i="81"/>
  <c r="EL61" i="81"/>
  <c r="EM61" i="81" s="1"/>
  <c r="EF61" i="81"/>
  <c r="DT61" i="81"/>
  <c r="EL60" i="81"/>
  <c r="EM60" i="81" s="1"/>
  <c r="EF60" i="81"/>
  <c r="EE60" i="81"/>
  <c r="EL59" i="81"/>
  <c r="EM59" i="81" s="1"/>
  <c r="EF59" i="81"/>
  <c r="EF66" i="81" s="1"/>
  <c r="EE59" i="81"/>
  <c r="CF53" i="81"/>
  <c r="AC52" i="81"/>
  <c r="BV51" i="81"/>
  <c r="BU51" i="81"/>
  <c r="BM51" i="81"/>
  <c r="BI51" i="81"/>
  <c r="BF51" i="81"/>
  <c r="BE51" i="81"/>
  <c r="BA51" i="81"/>
  <c r="AX51" i="81"/>
  <c r="AW51" i="81"/>
  <c r="AP51" i="81"/>
  <c r="AO51" i="81"/>
  <c r="AH51" i="81"/>
  <c r="AG51" i="81"/>
  <c r="Z51" i="81"/>
  <c r="Y51" i="81"/>
  <c r="R51" i="81"/>
  <c r="Q51" i="81"/>
  <c r="J51" i="81"/>
  <c r="I51" i="81"/>
  <c r="BW39" i="81"/>
  <c r="BW51" i="81" s="1"/>
  <c r="BV39" i="81"/>
  <c r="BU39" i="81"/>
  <c r="BM39" i="81"/>
  <c r="BL39" i="81"/>
  <c r="BL51" i="81" s="1"/>
  <c r="BJ39" i="81"/>
  <c r="BJ51" i="81" s="1"/>
  <c r="BI39" i="81"/>
  <c r="BH39" i="81"/>
  <c r="BH51" i="81" s="1"/>
  <c r="BG39" i="81"/>
  <c r="BG51" i="81" s="1"/>
  <c r="BF39" i="81"/>
  <c r="BE39" i="81"/>
  <c r="BD39" i="81"/>
  <c r="BD51" i="81" s="1"/>
  <c r="BC39" i="81"/>
  <c r="BC51" i="81" s="1"/>
  <c r="BB39" i="81"/>
  <c r="BB51" i="81" s="1"/>
  <c r="BA39" i="81"/>
  <c r="AZ39" i="81"/>
  <c r="AZ51" i="81" s="1"/>
  <c r="AX39" i="81"/>
  <c r="AW39" i="81"/>
  <c r="AV39" i="81"/>
  <c r="AV51" i="81" s="1"/>
  <c r="AU39" i="81"/>
  <c r="AU51" i="81" s="1"/>
  <c r="AT39" i="81"/>
  <c r="AT51" i="81" s="1"/>
  <c r="AS39" i="81"/>
  <c r="AS51" i="81" s="1"/>
  <c r="AR39" i="81"/>
  <c r="AR51" i="81" s="1"/>
  <c r="AQ39" i="81"/>
  <c r="AQ51" i="81" s="1"/>
  <c r="AP39" i="81"/>
  <c r="AO39" i="81"/>
  <c r="AN39" i="81"/>
  <c r="AN51" i="81" s="1"/>
  <c r="AM39" i="81"/>
  <c r="AM51" i="81" s="1"/>
  <c r="AL39" i="81"/>
  <c r="AL51" i="81" s="1"/>
  <c r="AK39" i="81"/>
  <c r="AK51" i="81" s="1"/>
  <c r="AJ39" i="81"/>
  <c r="AJ51" i="81" s="1"/>
  <c r="AI39" i="81"/>
  <c r="AI51" i="81" s="1"/>
  <c r="AH39" i="81"/>
  <c r="AG39" i="81"/>
  <c r="AF39" i="81"/>
  <c r="AF51" i="81" s="1"/>
  <c r="AE39" i="81"/>
  <c r="AE51" i="81" s="1"/>
  <c r="AD39" i="81"/>
  <c r="AD51" i="81" s="1"/>
  <c r="AC39" i="81"/>
  <c r="AC51" i="81" s="1"/>
  <c r="AB39" i="81"/>
  <c r="AB51" i="81" s="1"/>
  <c r="AA39" i="81"/>
  <c r="AA51" i="81" s="1"/>
  <c r="Z39" i="81"/>
  <c r="Y39" i="81"/>
  <c r="X39" i="81"/>
  <c r="X51" i="81" s="1"/>
  <c r="W39" i="81"/>
  <c r="W51" i="81" s="1"/>
  <c r="V39" i="81"/>
  <c r="V51" i="81" s="1"/>
  <c r="U39" i="81"/>
  <c r="U51" i="81" s="1"/>
  <c r="T39" i="81"/>
  <c r="T51" i="81" s="1"/>
  <c r="S39" i="81"/>
  <c r="S51" i="81" s="1"/>
  <c r="R39" i="81"/>
  <c r="Q39" i="81"/>
  <c r="P39" i="81"/>
  <c r="P51" i="81" s="1"/>
  <c r="O39" i="81"/>
  <c r="O51" i="81" s="1"/>
  <c r="N39" i="81"/>
  <c r="N51" i="81" s="1"/>
  <c r="M39" i="81"/>
  <c r="M51" i="81" s="1"/>
  <c r="L39" i="81"/>
  <c r="L51" i="81" s="1"/>
  <c r="K39" i="81"/>
  <c r="K51" i="81" s="1"/>
  <c r="J39" i="81"/>
  <c r="I39" i="81"/>
  <c r="H39" i="81"/>
  <c r="H51" i="81" s="1"/>
  <c r="G39" i="81"/>
  <c r="G51" i="81" s="1"/>
  <c r="F39" i="81"/>
  <c r="F51" i="81" s="1"/>
  <c r="E39" i="81"/>
  <c r="E51" i="81" s="1"/>
  <c r="D39" i="81"/>
  <c r="D51" i="81" s="1"/>
  <c r="CT28" i="81"/>
  <c r="CS25" i="81"/>
  <c r="CR25" i="81"/>
  <c r="CS24" i="81"/>
  <c r="CR24" i="81"/>
  <c r="CR23" i="81"/>
  <c r="CS23" i="81" s="1"/>
  <c r="CS22" i="81"/>
  <c r="CR22" i="81"/>
  <c r="CS21" i="81"/>
  <c r="CR21" i="81"/>
  <c r="CS20" i="81"/>
  <c r="CR20" i="81"/>
  <c r="CQ11" i="81"/>
  <c r="CK7" i="81"/>
  <c r="CJ7" i="81"/>
  <c r="CI7" i="81"/>
  <c r="CH7" i="81"/>
  <c r="CG7" i="81"/>
  <c r="CF7" i="81"/>
  <c r="CE7" i="81"/>
  <c r="CD7" i="81"/>
  <c r="CC7" i="81"/>
  <c r="CB7" i="81"/>
  <c r="CA7" i="81"/>
  <c r="BT7" i="81"/>
  <c r="BS7" i="81"/>
  <c r="BR7" i="81"/>
  <c r="BP7" i="81"/>
  <c r="BO7" i="81"/>
  <c r="BN7" i="81"/>
  <c r="BK7" i="81"/>
  <c r="BK39" i="81" s="1"/>
  <c r="BK51" i="81" s="1"/>
  <c r="CK4" i="81"/>
  <c r="CJ4" i="81"/>
  <c r="CI4" i="81"/>
  <c r="CH4" i="81"/>
  <c r="CG4" i="81"/>
  <c r="CF4" i="81"/>
  <c r="CE4" i="81"/>
  <c r="CD4" i="81"/>
  <c r="CC4" i="81"/>
  <c r="CB4" i="81"/>
  <c r="CA4" i="81"/>
  <c r="BT4" i="81"/>
  <c r="BS4" i="81"/>
  <c r="BR4" i="81"/>
  <c r="BP4" i="81"/>
  <c r="BO4" i="81"/>
  <c r="CK3" i="81"/>
  <c r="CJ3" i="81"/>
  <c r="CI3" i="81"/>
  <c r="CH3" i="81"/>
  <c r="CG3" i="81"/>
  <c r="CF3" i="81"/>
  <c r="CE3" i="81"/>
  <c r="CD3" i="81"/>
  <c r="CC3" i="81"/>
  <c r="CB3" i="81"/>
  <c r="BT3" i="81"/>
  <c r="BS3" i="81"/>
  <c r="BR3" i="81"/>
  <c r="BP3" i="81"/>
  <c r="M6" i="61"/>
  <c r="BV6" i="21"/>
  <c r="BV10" i="21"/>
  <c r="BV14" i="21"/>
  <c r="BV18" i="21"/>
  <c r="BV22" i="21"/>
  <c r="BV26" i="21"/>
  <c r="BV30" i="21"/>
  <c r="BV34" i="21"/>
  <c r="BV38" i="21"/>
  <c r="BV2" i="21"/>
  <c r="BU42" i="21"/>
  <c r="E91" i="61"/>
  <c r="C4" i="77"/>
  <c r="C5" i="77"/>
  <c r="C6" i="77"/>
  <c r="C7" i="77"/>
  <c r="C8" i="77"/>
  <c r="C9" i="77"/>
  <c r="C10" i="77"/>
  <c r="C11" i="77"/>
  <c r="C12" i="77"/>
  <c r="C13" i="77"/>
  <c r="C14" i="77"/>
  <c r="C15" i="77"/>
  <c r="C16" i="77"/>
  <c r="C17" i="77"/>
  <c r="C3" i="77"/>
  <c r="F4" i="77"/>
  <c r="F3" i="77"/>
  <c r="C4" i="76"/>
  <c r="C5" i="76"/>
  <c r="C6" i="76"/>
  <c r="C7" i="76"/>
  <c r="C8" i="76"/>
  <c r="C9" i="76"/>
  <c r="C10" i="76"/>
  <c r="C11" i="76"/>
  <c r="C12" i="76"/>
  <c r="C13" i="76"/>
  <c r="C14" i="76"/>
  <c r="C15" i="76"/>
  <c r="C16" i="76"/>
  <c r="C17" i="76"/>
  <c r="C18" i="76"/>
  <c r="C19" i="76"/>
  <c r="C20" i="76"/>
  <c r="C21" i="76"/>
  <c r="C22" i="76"/>
  <c r="C23" i="76"/>
  <c r="C24" i="76"/>
  <c r="C25" i="76"/>
  <c r="C26" i="76"/>
  <c r="C27" i="76"/>
  <c r="C28" i="76"/>
  <c r="C29" i="76"/>
  <c r="C30" i="76"/>
  <c r="C31" i="76"/>
  <c r="C32" i="76"/>
  <c r="C33" i="76"/>
  <c r="C34" i="76"/>
  <c r="C35" i="76"/>
  <c r="C36" i="76"/>
  <c r="C37" i="76"/>
  <c r="C38" i="76"/>
  <c r="C39" i="76"/>
  <c r="C40" i="76"/>
  <c r="C41" i="76"/>
  <c r="C42" i="76"/>
  <c r="C43" i="76"/>
  <c r="C44" i="76"/>
  <c r="C45" i="76"/>
  <c r="C46" i="76"/>
  <c r="C47" i="76"/>
  <c r="C48" i="76"/>
  <c r="C49" i="76"/>
  <c r="C50" i="76"/>
  <c r="C51" i="76"/>
  <c r="C52" i="76"/>
  <c r="C53" i="76"/>
  <c r="C54" i="76"/>
  <c r="C55" i="76"/>
  <c r="C56" i="76"/>
  <c r="C57" i="76"/>
  <c r="C58" i="76"/>
  <c r="C59" i="76"/>
  <c r="C60" i="76"/>
  <c r="C61" i="76"/>
  <c r="C62" i="76"/>
  <c r="C63" i="76"/>
  <c r="C64" i="76"/>
  <c r="C65" i="76"/>
  <c r="C66" i="76"/>
  <c r="C67" i="76"/>
  <c r="C68" i="76"/>
  <c r="C69" i="76"/>
  <c r="C70" i="76"/>
  <c r="C71" i="76"/>
  <c r="C72" i="76"/>
  <c r="C73" i="76"/>
  <c r="C74" i="76"/>
  <c r="C75" i="76"/>
  <c r="C3" i="76"/>
  <c r="B30" i="76"/>
  <c r="F3" i="76"/>
  <c r="B4" i="76"/>
  <c r="B5" i="76" s="1"/>
  <c r="B6" i="76" s="1"/>
  <c r="B7" i="76" s="1"/>
  <c r="B8" i="76" s="1"/>
  <c r="B9" i="76" s="1"/>
  <c r="B10" i="76" s="1"/>
  <c r="B11" i="76" s="1"/>
  <c r="B12" i="76" s="1"/>
  <c r="B13" i="76" s="1"/>
  <c r="B14" i="76" s="1"/>
  <c r="B15" i="76" s="1"/>
  <c r="B16" i="76" s="1"/>
  <c r="B17" i="76" s="1"/>
  <c r="B18" i="76" s="1"/>
  <c r="B19" i="76" s="1"/>
  <c r="B20" i="76" s="1"/>
  <c r="B21" i="76" s="1"/>
  <c r="B22" i="76" s="1"/>
  <c r="B23" i="76" s="1"/>
  <c r="B24" i="76" s="1"/>
  <c r="B25" i="76" s="1"/>
  <c r="B26" i="76" s="1"/>
  <c r="B27" i="76" s="1"/>
  <c r="B28" i="76" s="1"/>
  <c r="B29" i="76" s="1"/>
  <c r="N51" i="61"/>
  <c r="L73" i="61"/>
  <c r="N5" i="80"/>
  <c r="N4" i="80"/>
  <c r="O4" i="80" s="1"/>
  <c r="C3" i="80"/>
  <c r="F3" i="80" s="1"/>
  <c r="G3" i="80" s="1"/>
  <c r="N5" i="79"/>
  <c r="O4" i="79"/>
  <c r="N4" i="79"/>
  <c r="C3" i="79"/>
  <c r="F3" i="79" s="1"/>
  <c r="B4" i="79" s="1"/>
  <c r="N5" i="78"/>
  <c r="N4" i="78"/>
  <c r="O4" i="78" s="1"/>
  <c r="C3" i="78"/>
  <c r="F3" i="78" s="1"/>
  <c r="M5" i="77"/>
  <c r="M4" i="77"/>
  <c r="N4" i="77" s="1"/>
  <c r="M5" i="76"/>
  <c r="M4" i="76"/>
  <c r="N4" i="76" s="1"/>
  <c r="M135" i="67"/>
  <c r="CO39" i="1" l="1"/>
  <c r="CO51" i="1" s="1"/>
  <c r="CV7" i="1"/>
  <c r="CV39" i="1" s="1"/>
  <c r="CV51" i="1" s="1"/>
  <c r="CN39" i="1"/>
  <c r="CN51" i="1" s="1"/>
  <c r="CW39" i="1"/>
  <c r="CW51" i="1" s="1"/>
  <c r="CM39" i="1"/>
  <c r="CM51" i="1" s="1"/>
  <c r="CU7" i="1"/>
  <c r="CU39" i="1" s="1"/>
  <c r="CU51" i="1" s="1"/>
  <c r="CT7" i="1"/>
  <c r="CT39" i="1" s="1"/>
  <c r="CT51" i="1" s="1"/>
  <c r="CS7" i="1"/>
  <c r="CS39" i="1" s="1"/>
  <c r="CS51" i="1" s="1"/>
  <c r="CR7" i="1"/>
  <c r="CR39" i="1" s="1"/>
  <c r="CR51" i="1" s="1"/>
  <c r="CQ7" i="1"/>
  <c r="CQ39" i="1" s="1"/>
  <c r="CQ51" i="1" s="1"/>
  <c r="CP39" i="1"/>
  <c r="CP51" i="1" s="1"/>
  <c r="BT8" i="81"/>
  <c r="AY8" i="81"/>
  <c r="BY8" i="81"/>
  <c r="CI8" i="81"/>
  <c r="CG8" i="81"/>
  <c r="CH8" i="81"/>
  <c r="BN8" i="81"/>
  <c r="CB8" i="81"/>
  <c r="CJ8" i="81"/>
  <c r="BS8" i="81"/>
  <c r="CK8" i="81"/>
  <c r="BP8" i="81"/>
  <c r="CD8" i="81"/>
  <c r="BO8" i="81"/>
  <c r="BQ8" i="81"/>
  <c r="CE8" i="81"/>
  <c r="CC8" i="81"/>
  <c r="BR8" i="81"/>
  <c r="CF8" i="81"/>
  <c r="CL39" i="1"/>
  <c r="CL51" i="1" s="1"/>
  <c r="Q34" i="21"/>
  <c r="I34" i="21"/>
  <c r="CS28" i="81"/>
  <c r="CT29" i="81" s="1"/>
  <c r="EM63" i="81"/>
  <c r="EM67" i="81" s="1"/>
  <c r="BY7" i="1"/>
  <c r="B31" i="76"/>
  <c r="F19" i="76"/>
  <c r="F26" i="76"/>
  <c r="F9" i="76"/>
  <c r="F24" i="76"/>
  <c r="F16" i="76"/>
  <c r="F8" i="76"/>
  <c r="F11" i="76"/>
  <c r="F18" i="76"/>
  <c r="F17" i="76"/>
  <c r="F31" i="76"/>
  <c r="F23" i="76"/>
  <c r="F15" i="76"/>
  <c r="F7" i="76"/>
  <c r="F10" i="76"/>
  <c r="F25" i="76"/>
  <c r="F30" i="76"/>
  <c r="F22" i="76"/>
  <c r="F14" i="76"/>
  <c r="F6" i="76"/>
  <c r="F27" i="76"/>
  <c r="F29" i="76"/>
  <c r="F21" i="76"/>
  <c r="F13" i="76"/>
  <c r="F5" i="76"/>
  <c r="F28" i="76"/>
  <c r="F20" i="76"/>
  <c r="F12" i="76"/>
  <c r="F4" i="76"/>
  <c r="B4" i="80"/>
  <c r="C4" i="80" s="1"/>
  <c r="G3" i="79"/>
  <c r="F4" i="79"/>
  <c r="C4" i="79"/>
  <c r="B4" i="78"/>
  <c r="G3" i="78"/>
  <c r="Q3" i="61" l="1"/>
  <c r="CK5" i="81"/>
  <c r="CC5" i="81"/>
  <c r="CJ5" i="81"/>
  <c r="CB5" i="81"/>
  <c r="CA5" i="81"/>
  <c r="BZ5" i="81"/>
  <c r="BY5" i="81"/>
  <c r="BX5" i="81"/>
  <c r="CI5" i="81"/>
  <c r="CH5" i="81"/>
  <c r="CG5" i="81"/>
  <c r="CF5" i="81"/>
  <c r="CE5" i="81"/>
  <c r="CD5" i="81"/>
  <c r="B32" i="76"/>
  <c r="F4" i="80"/>
  <c r="G4" i="80" s="1"/>
  <c r="B5" i="79"/>
  <c r="G4" i="79"/>
  <c r="C4" i="78"/>
  <c r="F4" i="78" s="1"/>
  <c r="L4" i="61"/>
  <c r="B33" i="76" l="1"/>
  <c r="F32" i="76"/>
  <c r="B5" i="80"/>
  <c r="C5" i="79"/>
  <c r="F5" i="79" s="1"/>
  <c r="B5" i="78"/>
  <c r="G4" i="78"/>
  <c r="H2" i="75"/>
  <c r="B34" i="76" l="1"/>
  <c r="F33" i="76"/>
  <c r="C5" i="80"/>
  <c r="F5" i="80" s="1"/>
  <c r="G5" i="79"/>
  <c r="B6" i="79"/>
  <c r="C5" i="78"/>
  <c r="F5" i="78" s="1"/>
  <c r="D8" i="75"/>
  <c r="D4" i="75"/>
  <c r="D5" i="75"/>
  <c r="D6" i="75"/>
  <c r="D7" i="75"/>
  <c r="D3" i="75"/>
  <c r="B9" i="75"/>
  <c r="CF53" i="1"/>
  <c r="I27" i="37"/>
  <c r="I39" i="37"/>
  <c r="I51" i="37"/>
  <c r="I15" i="37"/>
  <c r="E15" i="37"/>
  <c r="E16" i="37" s="1"/>
  <c r="H15" i="37"/>
  <c r="D14" i="37"/>
  <c r="E14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59" i="37"/>
  <c r="G60" i="37"/>
  <c r="G61" i="37"/>
  <c r="G62" i="37"/>
  <c r="G3" i="37"/>
  <c r="AB70" i="67"/>
  <c r="U95" i="67"/>
  <c r="W4" i="61"/>
  <c r="W6" i="61"/>
  <c r="W2" i="61"/>
  <c r="B89" i="61"/>
  <c r="BT42" i="21"/>
  <c r="B35" i="76" l="1"/>
  <c r="F34" i="76"/>
  <c r="B6" i="80"/>
  <c r="G5" i="80"/>
  <c r="C6" i="80"/>
  <c r="C6" i="79"/>
  <c r="G5" i="78"/>
  <c r="B6" i="78"/>
  <c r="H16" i="37"/>
  <c r="E17" i="37"/>
  <c r="BO7" i="1"/>
  <c r="BP7" i="1"/>
  <c r="BQ7" i="1"/>
  <c r="BR7" i="1"/>
  <c r="BS7" i="1"/>
  <c r="BT7" i="1"/>
  <c r="B36" i="76" l="1"/>
  <c r="F35" i="76"/>
  <c r="F6" i="80"/>
  <c r="F6" i="79"/>
  <c r="C6" i="78"/>
  <c r="F6" i="78" s="1"/>
  <c r="H17" i="37"/>
  <c r="E18" i="37"/>
  <c r="O48" i="31"/>
  <c r="P48" i="31"/>
  <c r="Q48" i="31"/>
  <c r="L10" i="73"/>
  <c r="U9" i="73"/>
  <c r="M22" i="73"/>
  <c r="M23" i="73" s="1"/>
  <c r="N10" i="73"/>
  <c r="O10" i="73"/>
  <c r="O11" i="73" s="1"/>
  <c r="O12" i="73" s="1"/>
  <c r="P10" i="73"/>
  <c r="P11" i="73" s="1"/>
  <c r="P12" i="73" s="1"/>
  <c r="M10" i="73"/>
  <c r="M11" i="73" s="1"/>
  <c r="M12" i="73" s="1"/>
  <c r="R8" i="73"/>
  <c r="R7" i="73"/>
  <c r="D3" i="73"/>
  <c r="E3" i="73"/>
  <c r="F3" i="73"/>
  <c r="H3" i="73"/>
  <c r="C3" i="73"/>
  <c r="B3" i="73"/>
  <c r="BN7" i="1"/>
  <c r="EZ61" i="1"/>
  <c r="FA61" i="1" s="1"/>
  <c r="EZ62" i="1"/>
  <c r="FA62" i="1" s="1"/>
  <c r="EZ60" i="1"/>
  <c r="FA60" i="1" s="1"/>
  <c r="EZ59" i="1"/>
  <c r="FA59" i="1" s="1"/>
  <c r="ET61" i="1"/>
  <c r="ET62" i="1"/>
  <c r="ET63" i="1"/>
  <c r="ET64" i="1"/>
  <c r="ET65" i="1"/>
  <c r="ES59" i="1"/>
  <c r="ET59" i="1" s="1"/>
  <c r="ES60" i="1"/>
  <c r="ET60" i="1" s="1"/>
  <c r="B37" i="76" l="1"/>
  <c r="F36" i="76"/>
  <c r="G6" i="80"/>
  <c r="B7" i="80"/>
  <c r="G6" i="79"/>
  <c r="B7" i="79"/>
  <c r="B7" i="78"/>
  <c r="G6" i="78"/>
  <c r="H18" i="37"/>
  <c r="E19" i="37"/>
  <c r="FA63" i="1"/>
  <c r="FA67" i="1" s="1"/>
  <c r="ET66" i="1"/>
  <c r="L11" i="73"/>
  <c r="L12" i="73" s="1"/>
  <c r="R10" i="73"/>
  <c r="M24" i="73"/>
  <c r="M25" i="73" s="1"/>
  <c r="N11" i="73"/>
  <c r="B38" i="76" l="1"/>
  <c r="F37" i="76"/>
  <c r="C7" i="80"/>
  <c r="F7" i="80" s="1"/>
  <c r="C7" i="79"/>
  <c r="F7" i="79" s="1"/>
  <c r="C7" i="78"/>
  <c r="F7" i="78" s="1"/>
  <c r="H19" i="37"/>
  <c r="E20" i="37"/>
  <c r="R11" i="73"/>
  <c r="N12" i="73"/>
  <c r="R12" i="73" s="1"/>
  <c r="BS42" i="21"/>
  <c r="B39" i="76" l="1"/>
  <c r="F38" i="76"/>
  <c r="B8" i="80"/>
  <c r="G7" i="80"/>
  <c r="G7" i="79"/>
  <c r="B8" i="79"/>
  <c r="G7" i="78"/>
  <c r="B8" i="78"/>
  <c r="H20" i="37"/>
  <c r="E21" i="37"/>
  <c r="EH61" i="1"/>
  <c r="O125" i="59"/>
  <c r="O124" i="59"/>
  <c r="O123" i="59"/>
  <c r="E1" i="70"/>
  <c r="J122" i="59"/>
  <c r="K122" i="59"/>
  <c r="J123" i="59"/>
  <c r="K123" i="59"/>
  <c r="J124" i="59"/>
  <c r="K124" i="59"/>
  <c r="J125" i="59"/>
  <c r="K125" i="59"/>
  <c r="J126" i="59"/>
  <c r="K126" i="59"/>
  <c r="J127" i="59"/>
  <c r="K127" i="59"/>
  <c r="J128" i="59"/>
  <c r="K128" i="59"/>
  <c r="J129" i="59"/>
  <c r="K129" i="59"/>
  <c r="J130" i="59"/>
  <c r="K130" i="59"/>
  <c r="J131" i="59"/>
  <c r="K131" i="59"/>
  <c r="J132" i="59"/>
  <c r="K132" i="59"/>
  <c r="J133" i="59"/>
  <c r="K133" i="59"/>
  <c r="J134" i="59"/>
  <c r="K134" i="59"/>
  <c r="J135" i="59"/>
  <c r="K135" i="59"/>
  <c r="J136" i="59"/>
  <c r="K136" i="59"/>
  <c r="BY2" i="81" l="1"/>
  <c r="BY39" i="81" s="1"/>
  <c r="BY51" i="81" s="1"/>
  <c r="CF2" i="81"/>
  <c r="BX2" i="81"/>
  <c r="BX39" i="81" s="1"/>
  <c r="BX51" i="81" s="1"/>
  <c r="AY2" i="81"/>
  <c r="AY39" i="81" s="1"/>
  <c r="AY51" i="81" s="1"/>
  <c r="CE2" i="81"/>
  <c r="BT2" i="81"/>
  <c r="CD2" i="81"/>
  <c r="BS2" i="81"/>
  <c r="CK2" i="81"/>
  <c r="CC2" i="81"/>
  <c r="BR2" i="81"/>
  <c r="CJ2" i="81"/>
  <c r="CB2" i="81"/>
  <c r="BQ2" i="81"/>
  <c r="BQ39" i="81" s="1"/>
  <c r="BQ51" i="81" s="1"/>
  <c r="CI2" i="81"/>
  <c r="CA2" i="81"/>
  <c r="BP2" i="81"/>
  <c r="CH2" i="81"/>
  <c r="BZ2" i="81"/>
  <c r="BZ39" i="81" s="1"/>
  <c r="BZ51" i="81" s="1"/>
  <c r="BO2" i="81"/>
  <c r="BO39" i="81" s="1"/>
  <c r="BO51" i="81" s="1"/>
  <c r="CG2" i="81"/>
  <c r="BN2" i="81"/>
  <c r="BN39" i="81" s="1"/>
  <c r="BN51" i="81" s="1"/>
  <c r="BY2" i="1"/>
  <c r="B40" i="76"/>
  <c r="F39" i="76"/>
  <c r="C8" i="80"/>
  <c r="F8" i="80" s="1"/>
  <c r="C8" i="79"/>
  <c r="F8" i="79" s="1"/>
  <c r="C8" i="78"/>
  <c r="F8" i="78" s="1"/>
  <c r="H21" i="37"/>
  <c r="E22" i="37"/>
  <c r="BP2" i="1"/>
  <c r="BR2" i="1"/>
  <c r="BS2" i="1"/>
  <c r="BT2" i="1"/>
  <c r="BU39" i="1"/>
  <c r="BU51" i="1" s="1"/>
  <c r="BV39" i="1"/>
  <c r="BV51" i="1" s="1"/>
  <c r="BW39" i="1"/>
  <c r="BW51" i="1" s="1"/>
  <c r="BX2" i="1"/>
  <c r="BX39" i="1" s="1"/>
  <c r="BX51" i="1" s="1"/>
  <c r="BN2" i="1"/>
  <c r="BO2" i="1"/>
  <c r="BQ2" i="1"/>
  <c r="BQ39" i="1" s="1"/>
  <c r="BQ51" i="1" s="1"/>
  <c r="B41" i="76" l="1"/>
  <c r="F40" i="76"/>
  <c r="G8" i="80"/>
  <c r="B9" i="80"/>
  <c r="G8" i="79"/>
  <c r="B9" i="79"/>
  <c r="B9" i="78"/>
  <c r="G8" i="78"/>
  <c r="E23" i="37"/>
  <c r="H22" i="37"/>
  <c r="B42" i="76" l="1"/>
  <c r="F41" i="76"/>
  <c r="C9" i="80"/>
  <c r="F9" i="80" s="1"/>
  <c r="C9" i="79"/>
  <c r="F9" i="79" s="1"/>
  <c r="C9" i="78"/>
  <c r="F9" i="78" s="1"/>
  <c r="H23" i="37"/>
  <c r="E24" i="37"/>
  <c r="J120" i="59"/>
  <c r="K120" i="59"/>
  <c r="J121" i="59"/>
  <c r="K121" i="59"/>
  <c r="J106" i="59"/>
  <c r="K106" i="59"/>
  <c r="J107" i="59"/>
  <c r="K107" i="59"/>
  <c r="J108" i="59"/>
  <c r="K108" i="59"/>
  <c r="J109" i="59"/>
  <c r="K109" i="59"/>
  <c r="J110" i="59"/>
  <c r="K110" i="59"/>
  <c r="J111" i="59"/>
  <c r="K111" i="59"/>
  <c r="J112" i="59"/>
  <c r="K112" i="59"/>
  <c r="J113" i="59"/>
  <c r="K113" i="59"/>
  <c r="J114" i="59"/>
  <c r="K114" i="59"/>
  <c r="J115" i="59"/>
  <c r="K115" i="59"/>
  <c r="J116" i="59"/>
  <c r="K116" i="59"/>
  <c r="J117" i="59"/>
  <c r="K117" i="59"/>
  <c r="J118" i="59"/>
  <c r="K118" i="59"/>
  <c r="J119" i="59"/>
  <c r="K119" i="59"/>
  <c r="B43" i="76" l="1"/>
  <c r="F42" i="76"/>
  <c r="B10" i="80"/>
  <c r="G9" i="80"/>
  <c r="G9" i="79"/>
  <c r="B10" i="79"/>
  <c r="G9" i="78"/>
  <c r="B10" i="78"/>
  <c r="H24" i="37"/>
  <c r="E25" i="37"/>
  <c r="C8" i="59"/>
  <c r="U104" i="59"/>
  <c r="U105" i="59" s="1"/>
  <c r="E1" i="69"/>
  <c r="B44" i="76" l="1"/>
  <c r="F43" i="76"/>
  <c r="C10" i="80"/>
  <c r="F10" i="80" s="1"/>
  <c r="C10" i="79"/>
  <c r="F10" i="79" s="1"/>
  <c r="C10" i="78"/>
  <c r="F10" i="78" s="1"/>
  <c r="H25" i="37"/>
  <c r="E26" i="37"/>
  <c r="B45" i="76" l="1"/>
  <c r="F44" i="76"/>
  <c r="G10" i="80"/>
  <c r="B11" i="80"/>
  <c r="G10" i="79"/>
  <c r="B11" i="79"/>
  <c r="B11" i="78"/>
  <c r="G10" i="78"/>
  <c r="H26" i="37"/>
  <c r="E27" i="37"/>
  <c r="B46" i="76" l="1"/>
  <c r="F45" i="76"/>
  <c r="C11" i="80"/>
  <c r="F11" i="80" s="1"/>
  <c r="C11" i="79"/>
  <c r="F11" i="79" s="1"/>
  <c r="C11" i="78"/>
  <c r="F11" i="78" s="1"/>
  <c r="E28" i="37"/>
  <c r="H27" i="37"/>
  <c r="F2" i="68"/>
  <c r="F19" i="68"/>
  <c r="E19" i="68"/>
  <c r="F18" i="68"/>
  <c r="E18" i="68"/>
  <c r="F17" i="68"/>
  <c r="E17" i="68"/>
  <c r="F16" i="68"/>
  <c r="E16" i="68"/>
  <c r="Q15" i="68"/>
  <c r="F15" i="68"/>
  <c r="E15" i="68"/>
  <c r="Q14" i="68"/>
  <c r="F14" i="68"/>
  <c r="E14" i="68"/>
  <c r="F13" i="68"/>
  <c r="E13" i="68"/>
  <c r="F12" i="68"/>
  <c r="E12" i="68"/>
  <c r="F11" i="68"/>
  <c r="E11" i="68"/>
  <c r="F10" i="68"/>
  <c r="E10" i="68"/>
  <c r="F9" i="68"/>
  <c r="E9" i="68"/>
  <c r="F8" i="68"/>
  <c r="E8" i="68"/>
  <c r="T7" i="68"/>
  <c r="T8" i="68" s="1"/>
  <c r="T9" i="68" s="1"/>
  <c r="F7" i="68"/>
  <c r="E7" i="68"/>
  <c r="N6" i="68"/>
  <c r="F6" i="68"/>
  <c r="E6" i="68"/>
  <c r="F5" i="68"/>
  <c r="E5" i="68"/>
  <c r="N4" i="68"/>
  <c r="F4" i="68"/>
  <c r="E4" i="68"/>
  <c r="T3" i="68"/>
  <c r="H3" i="68"/>
  <c r="H4" i="68" s="1"/>
  <c r="H5" i="68" s="1"/>
  <c r="F3" i="68"/>
  <c r="E3" i="68"/>
  <c r="B47" i="76" l="1"/>
  <c r="F46" i="76"/>
  <c r="B12" i="80"/>
  <c r="G11" i="80"/>
  <c r="G11" i="79"/>
  <c r="B12" i="79"/>
  <c r="G11" i="78"/>
  <c r="B12" i="78"/>
  <c r="H28" i="37"/>
  <c r="E29" i="37"/>
  <c r="H6" i="68"/>
  <c r="I5" i="68"/>
  <c r="I4" i="68"/>
  <c r="G3" i="68"/>
  <c r="I3" i="68"/>
  <c r="F21" i="68"/>
  <c r="G2" i="68"/>
  <c r="J5" i="68"/>
  <c r="K5" i="68" s="1"/>
  <c r="G18" i="68"/>
  <c r="G9" i="68"/>
  <c r="G11" i="68"/>
  <c r="G7" i="68"/>
  <c r="G15" i="68"/>
  <c r="G4" i="68"/>
  <c r="G19" i="68"/>
  <c r="G14" i="68"/>
  <c r="G8" i="68"/>
  <c r="G10" i="68"/>
  <c r="G16" i="68"/>
  <c r="G17" i="68"/>
  <c r="G6" i="68"/>
  <c r="G12" i="68"/>
  <c r="G13" i="68"/>
  <c r="H7" i="68"/>
  <c r="I7" i="68" s="1"/>
  <c r="I6" i="68"/>
  <c r="G5" i="68"/>
  <c r="B48" i="76" l="1"/>
  <c r="F47" i="76"/>
  <c r="C12" i="80"/>
  <c r="F12" i="80" s="1"/>
  <c r="C12" i="79"/>
  <c r="F12" i="79" s="1"/>
  <c r="C12" i="78"/>
  <c r="F12" i="78" s="1"/>
  <c r="H29" i="37"/>
  <c r="E30" i="37"/>
  <c r="G21" i="68"/>
  <c r="G22" i="68" s="1"/>
  <c r="J3" i="68"/>
  <c r="K3" i="68" s="1"/>
  <c r="N7" i="68"/>
  <c r="N8" i="68" s="1"/>
  <c r="N9" i="68" s="1"/>
  <c r="J4" i="68"/>
  <c r="K4" i="68" s="1"/>
  <c r="J6" i="68"/>
  <c r="K6" i="68" s="1"/>
  <c r="H8" i="68"/>
  <c r="C79" i="59"/>
  <c r="C77" i="59"/>
  <c r="D77" i="59" s="1"/>
  <c r="C78" i="59"/>
  <c r="B49" i="76" l="1"/>
  <c r="F48" i="76"/>
  <c r="G12" i="80"/>
  <c r="B13" i="80"/>
  <c r="B13" i="79"/>
  <c r="G12" i="79"/>
  <c r="B13" i="78"/>
  <c r="G12" i="78"/>
  <c r="E31" i="37"/>
  <c r="H30" i="37"/>
  <c r="C81" i="59"/>
  <c r="H9" i="68"/>
  <c r="I8" i="68"/>
  <c r="J7" i="68"/>
  <c r="K7" i="68" s="1"/>
  <c r="U92" i="59"/>
  <c r="B50" i="76" l="1"/>
  <c r="F49" i="76"/>
  <c r="C13" i="80"/>
  <c r="F13" i="80"/>
  <c r="C13" i="79"/>
  <c r="F13" i="79" s="1"/>
  <c r="C13" i="78"/>
  <c r="F13" i="78" s="1"/>
  <c r="H31" i="37"/>
  <c r="E32" i="37"/>
  <c r="J8" i="68"/>
  <c r="K8" i="68" s="1"/>
  <c r="I9" i="68"/>
  <c r="H10" i="68"/>
  <c r="F4" i="59"/>
  <c r="F6" i="59"/>
  <c r="F7" i="59"/>
  <c r="F8" i="59"/>
  <c r="F3" i="59"/>
  <c r="E9" i="59"/>
  <c r="B51" i="76" l="1"/>
  <c r="F50" i="76"/>
  <c r="G13" i="80"/>
  <c r="B14" i="80"/>
  <c r="B14" i="79"/>
  <c r="G13" i="79"/>
  <c r="G13" i="78"/>
  <c r="B14" i="78"/>
  <c r="H32" i="37"/>
  <c r="E33" i="37"/>
  <c r="H11" i="68"/>
  <c r="I10" i="68"/>
  <c r="J9" i="68"/>
  <c r="K9" i="68" s="1"/>
  <c r="B52" i="76" l="1"/>
  <c r="F51" i="76"/>
  <c r="C14" i="80"/>
  <c r="F14" i="80" s="1"/>
  <c r="C14" i="79"/>
  <c r="F14" i="79" s="1"/>
  <c r="C14" i="78"/>
  <c r="F14" i="78"/>
  <c r="H33" i="37"/>
  <c r="E34" i="37"/>
  <c r="I11" i="68"/>
  <c r="H12" i="68"/>
  <c r="J10" i="68"/>
  <c r="K10" i="68" s="1"/>
  <c r="O129" i="59"/>
  <c r="B53" i="76" l="1"/>
  <c r="F52" i="76"/>
  <c r="B15" i="80"/>
  <c r="G14" i="80"/>
  <c r="B15" i="79"/>
  <c r="G14" i="79"/>
  <c r="B15" i="78"/>
  <c r="G14" i="78"/>
  <c r="H34" i="37"/>
  <c r="E35" i="37"/>
  <c r="H13" i="68"/>
  <c r="I12" i="68"/>
  <c r="J11" i="68"/>
  <c r="K11" i="68" s="1"/>
  <c r="N129" i="59"/>
  <c r="J88" i="59"/>
  <c r="K88" i="59"/>
  <c r="J89" i="59"/>
  <c r="K89" i="59"/>
  <c r="J90" i="59"/>
  <c r="K90" i="59"/>
  <c r="J91" i="59"/>
  <c r="K91" i="59"/>
  <c r="J92" i="59"/>
  <c r="K92" i="59"/>
  <c r="J93" i="59"/>
  <c r="K93" i="59"/>
  <c r="J94" i="59"/>
  <c r="K94" i="59"/>
  <c r="J95" i="59"/>
  <c r="K95" i="59"/>
  <c r="J96" i="59"/>
  <c r="K96" i="59"/>
  <c r="J97" i="59"/>
  <c r="K97" i="59"/>
  <c r="J98" i="59"/>
  <c r="K98" i="59"/>
  <c r="J99" i="59"/>
  <c r="K99" i="59"/>
  <c r="J100" i="59"/>
  <c r="K100" i="59"/>
  <c r="J101" i="59"/>
  <c r="K101" i="59"/>
  <c r="J102" i="59"/>
  <c r="K102" i="59"/>
  <c r="J103" i="59"/>
  <c r="K103" i="59"/>
  <c r="J104" i="59"/>
  <c r="K104" i="59"/>
  <c r="J105" i="59"/>
  <c r="K105" i="59"/>
  <c r="B54" i="76" l="1"/>
  <c r="F53" i="76"/>
  <c r="C15" i="80"/>
  <c r="F15" i="80" s="1"/>
  <c r="C15" i="79"/>
  <c r="F15" i="79" s="1"/>
  <c r="C15" i="78"/>
  <c r="F15" i="78" s="1"/>
  <c r="E36" i="37"/>
  <c r="H35" i="37"/>
  <c r="C5" i="59"/>
  <c r="C11" i="59" s="1"/>
  <c r="J12" i="68"/>
  <c r="K12" i="68" s="1"/>
  <c r="I13" i="68"/>
  <c r="H14" i="68"/>
  <c r="R5" i="59"/>
  <c r="R8" i="59"/>
  <c r="T10" i="59"/>
  <c r="U10" i="59"/>
  <c r="Q5" i="59"/>
  <c r="B55" i="76" l="1"/>
  <c r="F54" i="76"/>
  <c r="G15" i="80"/>
  <c r="B16" i="80"/>
  <c r="B16" i="79"/>
  <c r="G15" i="79"/>
  <c r="G15" i="78"/>
  <c r="B16" i="78"/>
  <c r="H36" i="37"/>
  <c r="E37" i="37"/>
  <c r="F5" i="59"/>
  <c r="H15" i="68"/>
  <c r="I14" i="68"/>
  <c r="J13" i="68"/>
  <c r="K13" i="68" s="1"/>
  <c r="Q8" i="59"/>
  <c r="B56" i="76" l="1"/>
  <c r="F55" i="76"/>
  <c r="C16" i="80"/>
  <c r="F16" i="80" s="1"/>
  <c r="C16" i="79"/>
  <c r="F16" i="79" s="1"/>
  <c r="C16" i="78"/>
  <c r="F16" i="78" s="1"/>
  <c r="H37" i="37"/>
  <c r="E38" i="37"/>
  <c r="J14" i="68"/>
  <c r="K14" i="68" s="1"/>
  <c r="I15" i="68"/>
  <c r="H16" i="68"/>
  <c r="O5" i="59"/>
  <c r="N5" i="59"/>
  <c r="F68" i="67"/>
  <c r="G68" i="67"/>
  <c r="H68" i="67"/>
  <c r="E68" i="67"/>
  <c r="B57" i="76" l="1"/>
  <c r="F56" i="76"/>
  <c r="B17" i="80"/>
  <c r="G16" i="80"/>
  <c r="B17" i="79"/>
  <c r="G16" i="79"/>
  <c r="B17" i="78"/>
  <c r="G16" i="78"/>
  <c r="E39" i="37"/>
  <c r="H38" i="37"/>
  <c r="H17" i="68"/>
  <c r="I16" i="68"/>
  <c r="J15" i="68"/>
  <c r="K15" i="68" s="1"/>
  <c r="K78" i="59"/>
  <c r="K79" i="59"/>
  <c r="K80" i="59"/>
  <c r="K81" i="59"/>
  <c r="K82" i="59"/>
  <c r="K83" i="59"/>
  <c r="K84" i="59"/>
  <c r="K85" i="59"/>
  <c r="K86" i="59"/>
  <c r="K87" i="59"/>
  <c r="BO42" i="21"/>
  <c r="BP42" i="21"/>
  <c r="BQ42" i="21"/>
  <c r="BR42" i="21"/>
  <c r="BN42" i="21"/>
  <c r="B58" i="76" l="1"/>
  <c r="F57" i="76"/>
  <c r="C17" i="80"/>
  <c r="F17" i="80" s="1"/>
  <c r="C17" i="79"/>
  <c r="F17" i="79" s="1"/>
  <c r="C17" i="78"/>
  <c r="F17" i="78" s="1"/>
  <c r="H39" i="37"/>
  <c r="E40" i="37"/>
  <c r="J16" i="68"/>
  <c r="K16" i="68" s="1"/>
  <c r="I17" i="68"/>
  <c r="H18" i="68"/>
  <c r="K66" i="59"/>
  <c r="K67" i="59"/>
  <c r="K68" i="59"/>
  <c r="K69" i="59"/>
  <c r="K70" i="59"/>
  <c r="K73" i="59"/>
  <c r="K74" i="59"/>
  <c r="K75" i="59"/>
  <c r="K76" i="59"/>
  <c r="K77" i="59"/>
  <c r="K72" i="59"/>
  <c r="K71" i="59"/>
  <c r="B59" i="76" l="1"/>
  <c r="F58" i="76"/>
  <c r="G17" i="80"/>
  <c r="B18" i="80"/>
  <c r="B18" i="79"/>
  <c r="G17" i="79"/>
  <c r="G17" i="78"/>
  <c r="B18" i="78"/>
  <c r="H40" i="37"/>
  <c r="E41" i="37"/>
  <c r="J17" i="68"/>
  <c r="K17" i="68" s="1"/>
  <c r="I18" i="68"/>
  <c r="H19" i="68"/>
  <c r="J21" i="63"/>
  <c r="J16" i="63"/>
  <c r="AY7" i="1"/>
  <c r="B60" i="76" l="1"/>
  <c r="F59" i="76"/>
  <c r="C18" i="80"/>
  <c r="F18" i="80" s="1"/>
  <c r="C18" i="79"/>
  <c r="F18" i="79" s="1"/>
  <c r="C18" i="78"/>
  <c r="F18" i="78" s="1"/>
  <c r="H41" i="37"/>
  <c r="E42" i="37"/>
  <c r="I19" i="68"/>
  <c r="J18" i="68"/>
  <c r="K18" i="68" s="1"/>
  <c r="B61" i="76" l="1"/>
  <c r="F60" i="76"/>
  <c r="G18" i="80"/>
  <c r="B19" i="80"/>
  <c r="B19" i="79"/>
  <c r="G18" i="79"/>
  <c r="B19" i="78"/>
  <c r="G18" i="78"/>
  <c r="H42" i="37"/>
  <c r="E43" i="37"/>
  <c r="J19" i="68"/>
  <c r="K19" i="68" s="1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67" i="59"/>
  <c r="J68" i="59"/>
  <c r="J69" i="59"/>
  <c r="J70" i="59"/>
  <c r="B62" i="76" l="1"/>
  <c r="F61" i="76"/>
  <c r="C19" i="80"/>
  <c r="F19" i="80" s="1"/>
  <c r="C19" i="79"/>
  <c r="F19" i="79" s="1"/>
  <c r="C19" i="78"/>
  <c r="E44" i="37"/>
  <c r="H43" i="37"/>
  <c r="B63" i="76" l="1"/>
  <c r="F62" i="76"/>
  <c r="G19" i="80"/>
  <c r="B20" i="80"/>
  <c r="B20" i="79"/>
  <c r="G19" i="79"/>
  <c r="F19" i="78"/>
  <c r="G19" i="78" s="1"/>
  <c r="H44" i="37"/>
  <c r="E45" i="37"/>
  <c r="B64" i="76" l="1"/>
  <c r="F63" i="76"/>
  <c r="C20" i="80"/>
  <c r="F20" i="80" s="1"/>
  <c r="C20" i="79"/>
  <c r="F20" i="79" s="1"/>
  <c r="B20" i="78"/>
  <c r="C20" i="78"/>
  <c r="H45" i="37"/>
  <c r="E46" i="37"/>
  <c r="D9" i="59"/>
  <c r="B65" i="76" l="1"/>
  <c r="F64" i="76"/>
  <c r="G20" i="80"/>
  <c r="B21" i="80"/>
  <c r="B21" i="79"/>
  <c r="G20" i="79"/>
  <c r="F20" i="78"/>
  <c r="B21" i="78" s="1"/>
  <c r="E47" i="37"/>
  <c r="H46" i="37"/>
  <c r="AY2" i="1"/>
  <c r="BL39" i="1"/>
  <c r="BL51" i="1" s="1"/>
  <c r="BK39" i="1"/>
  <c r="BK51" i="1" s="1"/>
  <c r="BJ39" i="1"/>
  <c r="BJ51" i="1" s="1"/>
  <c r="BI39" i="1"/>
  <c r="BI51" i="1" s="1"/>
  <c r="BH39" i="1"/>
  <c r="BH51" i="1" s="1"/>
  <c r="BG39" i="1"/>
  <c r="BG51" i="1" s="1"/>
  <c r="BM39" i="1"/>
  <c r="BM51" i="1" s="1"/>
  <c r="BN39" i="1"/>
  <c r="BN51" i="1" s="1"/>
  <c r="BF39" i="1"/>
  <c r="BF51" i="1" s="1"/>
  <c r="BE39" i="1"/>
  <c r="BE51" i="1" s="1"/>
  <c r="B66" i="76" l="1"/>
  <c r="F65" i="76"/>
  <c r="C21" i="80"/>
  <c r="F21" i="80" s="1"/>
  <c r="C21" i="79"/>
  <c r="F21" i="79" s="1"/>
  <c r="G20" i="78"/>
  <c r="C21" i="78"/>
  <c r="H47" i="37"/>
  <c r="E48" i="37"/>
  <c r="J55" i="59"/>
  <c r="J56" i="59"/>
  <c r="J57" i="59"/>
  <c r="J58" i="59"/>
  <c r="J59" i="59"/>
  <c r="J60" i="59"/>
  <c r="J61" i="59"/>
  <c r="J62" i="59"/>
  <c r="J63" i="59"/>
  <c r="J64" i="59"/>
  <c r="J65" i="59"/>
  <c r="J66" i="59"/>
  <c r="B67" i="76" l="1"/>
  <c r="F66" i="76"/>
  <c r="G21" i="80"/>
  <c r="B22" i="80"/>
  <c r="B22" i="79"/>
  <c r="G21" i="79"/>
  <c r="F21" i="78"/>
  <c r="G21" i="78" s="1"/>
  <c r="H48" i="37"/>
  <c r="E49" i="37"/>
  <c r="P36" i="63"/>
  <c r="B68" i="76" l="1"/>
  <c r="F67" i="76"/>
  <c r="C22" i="80"/>
  <c r="F22" i="80" s="1"/>
  <c r="C22" i="79"/>
  <c r="F22" i="79" s="1"/>
  <c r="B22" i="78"/>
  <c r="C22" i="78" s="1"/>
  <c r="H49" i="37"/>
  <c r="E50" i="37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B69" i="76" l="1"/>
  <c r="F68" i="76"/>
  <c r="B23" i="80"/>
  <c r="G22" i="80"/>
  <c r="B23" i="79"/>
  <c r="G22" i="79"/>
  <c r="F22" i="78"/>
  <c r="B23" i="78" s="1"/>
  <c r="G22" i="78"/>
  <c r="H50" i="37"/>
  <c r="E51" i="37"/>
  <c r="M51" i="67"/>
  <c r="J45" i="67"/>
  <c r="L42" i="67"/>
  <c r="M42" i="67" s="1"/>
  <c r="N42" i="67" s="1"/>
  <c r="O42" i="67" s="1"/>
  <c r="L41" i="67"/>
  <c r="M41" i="67" s="1"/>
  <c r="N41" i="67" s="1"/>
  <c r="O41" i="67" s="1"/>
  <c r="M40" i="67"/>
  <c r="L40" i="67"/>
  <c r="AA34" i="67"/>
  <c r="AA35" i="67" s="1"/>
  <c r="X34" i="67"/>
  <c r="X35" i="67" s="1"/>
  <c r="U34" i="67"/>
  <c r="U30" i="67"/>
  <c r="O12" i="67"/>
  <c r="O13" i="67" s="1"/>
  <c r="O16" i="67" s="1"/>
  <c r="K5" i="67"/>
  <c r="K6" i="67" s="1"/>
  <c r="K9" i="67" s="1"/>
  <c r="O4" i="67"/>
  <c r="O5" i="67" s="1"/>
  <c r="O8" i="67" s="1"/>
  <c r="B4" i="67"/>
  <c r="B5" i="67" s="1"/>
  <c r="B3" i="67"/>
  <c r="L9" i="66"/>
  <c r="I9" i="66"/>
  <c r="H8" i="66"/>
  <c r="E3" i="66" s="1"/>
  <c r="E11" i="66" s="1"/>
  <c r="N6" i="66"/>
  <c r="K6" i="66"/>
  <c r="N5" i="66"/>
  <c r="K5" i="66"/>
  <c r="N4" i="66"/>
  <c r="K4" i="66"/>
  <c r="N3" i="66"/>
  <c r="K3" i="66"/>
  <c r="N2" i="66"/>
  <c r="K2" i="66"/>
  <c r="E1" i="66"/>
  <c r="F64" i="65"/>
  <c r="C33" i="65"/>
  <c r="C31" i="65"/>
  <c r="J28" i="65"/>
  <c r="J29" i="65" s="1"/>
  <c r="K27" i="65"/>
  <c r="D26" i="65"/>
  <c r="H24" i="65"/>
  <c r="I20" i="65" s="1"/>
  <c r="N18" i="65"/>
  <c r="N19" i="65" s="1"/>
  <c r="N25" i="65" s="1"/>
  <c r="E14" i="65"/>
  <c r="D14" i="65"/>
  <c r="B14" i="65"/>
  <c r="I9" i="65"/>
  <c r="N4" i="65"/>
  <c r="N3" i="65"/>
  <c r="N16" i="65" s="1"/>
  <c r="B1" i="64"/>
  <c r="C1" i="64"/>
  <c r="D1" i="64"/>
  <c r="E1" i="64"/>
  <c r="F1" i="64"/>
  <c r="G1" i="64"/>
  <c r="H1" i="64"/>
  <c r="D51" i="63"/>
  <c r="E26" i="63"/>
  <c r="B26" i="63"/>
  <c r="T17" i="63"/>
  <c r="T16" i="63"/>
  <c r="P13" i="63"/>
  <c r="C1" i="62"/>
  <c r="L13" i="61"/>
  <c r="Q6" i="61"/>
  <c r="M4" i="61"/>
  <c r="M12" i="61" l="1"/>
  <c r="B70" i="76"/>
  <c r="F69" i="76"/>
  <c r="C23" i="80"/>
  <c r="F23" i="80" s="1"/>
  <c r="C23" i="79"/>
  <c r="F23" i="79" s="1"/>
  <c r="C23" i="78"/>
  <c r="F23" i="78" s="1"/>
  <c r="E52" i="37"/>
  <c r="H51" i="37"/>
  <c r="I11" i="66"/>
  <c r="I13" i="66" s="1"/>
  <c r="U35" i="67"/>
  <c r="N9" i="65"/>
  <c r="E8" i="66"/>
  <c r="F6" i="66"/>
  <c r="F70" i="67"/>
  <c r="N51" i="67"/>
  <c r="M52" i="67" s="1"/>
  <c r="CE6" i="81" l="1"/>
  <c r="CE39" i="81" s="1"/>
  <c r="CE51" i="81" s="1"/>
  <c r="CK6" i="81"/>
  <c r="CK39" i="81" s="1"/>
  <c r="CC6" i="81"/>
  <c r="CC39" i="81" s="1"/>
  <c r="CC51" i="81" s="1"/>
  <c r="CA6" i="81"/>
  <c r="CA39" i="81" s="1"/>
  <c r="CA51" i="81" s="1"/>
  <c r="CH6" i="81"/>
  <c r="CH39" i="81" s="1"/>
  <c r="BS6" i="81"/>
  <c r="BS39" i="81" s="1"/>
  <c r="BS51" i="81" s="1"/>
  <c r="CF6" i="81"/>
  <c r="CF39" i="81" s="1"/>
  <c r="CF51" i="81" s="1"/>
  <c r="BP6" i="81"/>
  <c r="BP39" i="81" s="1"/>
  <c r="BP51" i="81" s="1"/>
  <c r="CD6" i="81"/>
  <c r="CD39" i="81" s="1"/>
  <c r="CD51" i="81" s="1"/>
  <c r="CJ6" i="81"/>
  <c r="CJ39" i="81" s="1"/>
  <c r="CB6" i="81"/>
  <c r="CB39" i="81" s="1"/>
  <c r="CB51" i="81" s="1"/>
  <c r="CI6" i="81"/>
  <c r="CI39" i="81" s="1"/>
  <c r="BT6" i="81"/>
  <c r="BT39" i="81" s="1"/>
  <c r="BT51" i="81" s="1"/>
  <c r="CG6" i="81"/>
  <c r="CG39" i="81" s="1"/>
  <c r="CG51" i="81" s="1"/>
  <c r="BR6" i="81"/>
  <c r="BR39" i="81" s="1"/>
  <c r="BR51" i="81" s="1"/>
  <c r="BP5" i="1"/>
  <c r="BR5" i="1"/>
  <c r="BS5" i="1"/>
  <c r="BT5" i="1"/>
  <c r="Q4" i="61"/>
  <c r="CC39" i="1"/>
  <c r="CC51" i="1" s="1"/>
  <c r="BR3" i="1"/>
  <c r="BS3" i="1"/>
  <c r="BT3" i="1"/>
  <c r="BP3" i="1"/>
  <c r="BY39" i="1"/>
  <c r="BY51" i="1" s="1"/>
  <c r="BS4" i="1"/>
  <c r="BR4" i="1"/>
  <c r="N12" i="61"/>
  <c r="BT4" i="1"/>
  <c r="BP4" i="1"/>
  <c r="BO4" i="1"/>
  <c r="BO39" i="1" s="1"/>
  <c r="BO51" i="1" s="1"/>
  <c r="Q2" i="61"/>
  <c r="B71" i="76"/>
  <c r="F70" i="76"/>
  <c r="G23" i="80"/>
  <c r="B24" i="80"/>
  <c r="B24" i="79"/>
  <c r="G23" i="79"/>
  <c r="G23" i="78"/>
  <c r="B24" i="78"/>
  <c r="H52" i="37"/>
  <c r="E53" i="37"/>
  <c r="N52" i="67"/>
  <c r="M53" i="67" s="1"/>
  <c r="CK39" i="1" l="1"/>
  <c r="CK51" i="1" s="1"/>
  <c r="BT39" i="1"/>
  <c r="BT51" i="1" s="1"/>
  <c r="CB39" i="1"/>
  <c r="CB51" i="1" s="1"/>
  <c r="CH39" i="1"/>
  <c r="CH51" i="1" s="1"/>
  <c r="BR39" i="1"/>
  <c r="BR51" i="1" s="1"/>
  <c r="CD39" i="1"/>
  <c r="CD51" i="1" s="1"/>
  <c r="CJ39" i="1"/>
  <c r="CJ51" i="1" s="1"/>
  <c r="CI39" i="1"/>
  <c r="CI51" i="1" s="1"/>
  <c r="BS39" i="1"/>
  <c r="BS51" i="1" s="1"/>
  <c r="BP39" i="1"/>
  <c r="BP51" i="1" s="1"/>
  <c r="CA39" i="1"/>
  <c r="CA51" i="1" s="1"/>
  <c r="BZ39" i="1"/>
  <c r="BZ51" i="1" s="1"/>
  <c r="CG39" i="1"/>
  <c r="CG51" i="1" s="1"/>
  <c r="Q12" i="61"/>
  <c r="Q16" i="61" s="1"/>
  <c r="CE39" i="1"/>
  <c r="CE51" i="1" s="1"/>
  <c r="CF39" i="1"/>
  <c r="CF51" i="1" s="1"/>
  <c r="B72" i="76"/>
  <c r="F71" i="76"/>
  <c r="C24" i="80"/>
  <c r="F24" i="80" s="1"/>
  <c r="C24" i="79"/>
  <c r="F24" i="79" s="1"/>
  <c r="C24" i="78"/>
  <c r="F24" i="78" s="1"/>
  <c r="H53" i="37"/>
  <c r="E54" i="37"/>
  <c r="N53" i="67"/>
  <c r="M54" i="67" s="1"/>
  <c r="B73" i="76" l="1"/>
  <c r="F72" i="76"/>
  <c r="B25" i="80"/>
  <c r="G24" i="80"/>
  <c r="B25" i="79"/>
  <c r="G24" i="79"/>
  <c r="B25" i="78"/>
  <c r="G24" i="78"/>
  <c r="E55" i="37"/>
  <c r="H54" i="37"/>
  <c r="N54" i="67"/>
  <c r="M55" i="67" s="1"/>
  <c r="B74" i="76" l="1"/>
  <c r="F73" i="76"/>
  <c r="C25" i="80"/>
  <c r="F25" i="80" s="1"/>
  <c r="C25" i="79"/>
  <c r="F25" i="79" s="1"/>
  <c r="C25" i="78"/>
  <c r="F25" i="78" s="1"/>
  <c r="H55" i="37"/>
  <c r="E56" i="37"/>
  <c r="N55" i="67"/>
  <c r="M56" i="67" s="1"/>
  <c r="B75" i="76" l="1"/>
  <c r="F74" i="76"/>
  <c r="G25" i="80"/>
  <c r="B26" i="80"/>
  <c r="B26" i="79"/>
  <c r="G25" i="79"/>
  <c r="G25" i="78"/>
  <c r="B26" i="78"/>
  <c r="H56" i="37"/>
  <c r="E57" i="37"/>
  <c r="N56" i="67"/>
  <c r="M57" i="67" s="1"/>
  <c r="B76" i="76" l="1"/>
  <c r="F75" i="76"/>
  <c r="C26" i="80"/>
  <c r="F26" i="80" s="1"/>
  <c r="C26" i="79"/>
  <c r="F26" i="79" s="1"/>
  <c r="C26" i="78"/>
  <c r="F26" i="78" s="1"/>
  <c r="H57" i="37"/>
  <c r="E58" i="37"/>
  <c r="N57" i="67"/>
  <c r="M58" i="67" s="1"/>
  <c r="B77" i="76" l="1"/>
  <c r="F76" i="76"/>
  <c r="C76" i="76" s="1"/>
  <c r="G26" i="80"/>
  <c r="B27" i="80"/>
  <c r="B27" i="79"/>
  <c r="G26" i="79"/>
  <c r="B27" i="78"/>
  <c r="G26" i="78"/>
  <c r="H58" i="37"/>
  <c r="E59" i="37"/>
  <c r="N58" i="67"/>
  <c r="M59" i="67" s="1"/>
  <c r="N59" i="67" s="1"/>
  <c r="P59" i="67" s="1"/>
  <c r="M60" i="67" s="1"/>
  <c r="N60" i="67" s="1"/>
  <c r="P60" i="67" s="1"/>
  <c r="M61" i="67" s="1"/>
  <c r="N61" i="67" s="1"/>
  <c r="P61" i="67" s="1"/>
  <c r="M62" i="67" s="1"/>
  <c r="B78" i="76" l="1"/>
  <c r="F77" i="76"/>
  <c r="C77" i="76" s="1"/>
  <c r="C27" i="80"/>
  <c r="F27" i="80" s="1"/>
  <c r="C27" i="79"/>
  <c r="F27" i="79" s="1"/>
  <c r="C27" i="78"/>
  <c r="F27" i="78" s="1"/>
  <c r="E60" i="37"/>
  <c r="H59" i="37"/>
  <c r="B79" i="76" l="1"/>
  <c r="F78" i="76"/>
  <c r="C78" i="76" s="1"/>
  <c r="G27" i="80"/>
  <c r="B28" i="80"/>
  <c r="B28" i="79"/>
  <c r="G27" i="79"/>
  <c r="G27" i="78"/>
  <c r="B28" i="78"/>
  <c r="H60" i="37"/>
  <c r="E61" i="37"/>
  <c r="B80" i="76" l="1"/>
  <c r="F79" i="76"/>
  <c r="C79" i="76" s="1"/>
  <c r="C28" i="80"/>
  <c r="F28" i="80" s="1"/>
  <c r="C28" i="79"/>
  <c r="F28" i="79" s="1"/>
  <c r="C28" i="78"/>
  <c r="F28" i="78" s="1"/>
  <c r="H61" i="37"/>
  <c r="E62" i="37"/>
  <c r="H62" i="37" s="1"/>
  <c r="B81" i="76" l="1"/>
  <c r="F80" i="76"/>
  <c r="C80" i="76" s="1"/>
  <c r="B29" i="80"/>
  <c r="G28" i="80"/>
  <c r="B29" i="79"/>
  <c r="G28" i="79"/>
  <c r="B29" i="78"/>
  <c r="G28" i="78"/>
  <c r="N62" i="67"/>
  <c r="P62" i="67" s="1"/>
  <c r="M63" i="67" s="1"/>
  <c r="N63" i="67" s="1"/>
  <c r="P63" i="67" s="1"/>
  <c r="M64" i="67" s="1"/>
  <c r="B82" i="76" l="1"/>
  <c r="F81" i="76"/>
  <c r="C81" i="76" s="1"/>
  <c r="C29" i="80"/>
  <c r="F29" i="80" s="1"/>
  <c r="C29" i="79"/>
  <c r="F29" i="79" s="1"/>
  <c r="C29" i="78"/>
  <c r="F29" i="78" s="1"/>
  <c r="N64" i="67"/>
  <c r="P64" i="67" s="1"/>
  <c r="M65" i="67" s="1"/>
  <c r="B83" i="76" l="1"/>
  <c r="F82" i="76"/>
  <c r="C82" i="76" s="1"/>
  <c r="G29" i="80"/>
  <c r="B30" i="80"/>
  <c r="B30" i="79"/>
  <c r="G29" i="79"/>
  <c r="G29" i="78"/>
  <c r="B30" i="78"/>
  <c r="N65" i="67"/>
  <c r="P65" i="67" s="1"/>
  <c r="M66" i="67" s="1"/>
  <c r="B84" i="76" l="1"/>
  <c r="F83" i="76"/>
  <c r="C83" i="76" s="1"/>
  <c r="C30" i="80"/>
  <c r="F30" i="80" s="1"/>
  <c r="C30" i="79"/>
  <c r="F30" i="79" s="1"/>
  <c r="C30" i="78"/>
  <c r="F30" i="78" s="1"/>
  <c r="N66" i="67"/>
  <c r="P66" i="67" s="1"/>
  <c r="M67" i="67" s="1"/>
  <c r="B85" i="76" l="1"/>
  <c r="F84" i="76"/>
  <c r="C84" i="76" s="1"/>
  <c r="B31" i="80"/>
  <c r="G30" i="80"/>
  <c r="B31" i="79"/>
  <c r="G30" i="79"/>
  <c r="B31" i="78"/>
  <c r="G30" i="78"/>
  <c r="N67" i="67"/>
  <c r="B86" i="76" l="1"/>
  <c r="F85" i="76"/>
  <c r="C85" i="76" s="1"/>
  <c r="C31" i="80"/>
  <c r="F31" i="80" s="1"/>
  <c r="C31" i="79"/>
  <c r="F31" i="79" s="1"/>
  <c r="C31" i="78"/>
  <c r="F31" i="78" s="1"/>
  <c r="P67" i="67"/>
  <c r="M68" i="67" s="1"/>
  <c r="N68" i="67" s="1"/>
  <c r="B87" i="76" l="1"/>
  <c r="F86" i="76"/>
  <c r="C86" i="76" s="1"/>
  <c r="G31" i="80"/>
  <c r="B32" i="80"/>
  <c r="B32" i="79"/>
  <c r="G31" i="79"/>
  <c r="G31" i="78"/>
  <c r="B32" i="78"/>
  <c r="P68" i="67"/>
  <c r="M69" i="67" s="1"/>
  <c r="N69" i="67" s="1"/>
  <c r="P69" i="67" s="1"/>
  <c r="B88" i="76" l="1"/>
  <c r="F87" i="76"/>
  <c r="C87" i="76" s="1"/>
  <c r="C32" i="80"/>
  <c r="F32" i="80" s="1"/>
  <c r="C32" i="79"/>
  <c r="F32" i="79" s="1"/>
  <c r="C32" i="78"/>
  <c r="F32" i="78" s="1"/>
  <c r="M70" i="67"/>
  <c r="B89" i="76" l="1"/>
  <c r="F88" i="76"/>
  <c r="C88" i="76" s="1"/>
  <c r="B33" i="80"/>
  <c r="G32" i="80"/>
  <c r="B33" i="79"/>
  <c r="G32" i="79"/>
  <c r="B33" i="78"/>
  <c r="G32" i="78"/>
  <c r="N70" i="67"/>
  <c r="P70" i="67" s="1"/>
  <c r="M71" i="67" s="1"/>
  <c r="B90" i="76" l="1"/>
  <c r="F89" i="76"/>
  <c r="C89" i="76" s="1"/>
  <c r="C33" i="80"/>
  <c r="F33" i="80" s="1"/>
  <c r="C33" i="79"/>
  <c r="F33" i="79" s="1"/>
  <c r="C33" i="78"/>
  <c r="F33" i="78" s="1"/>
  <c r="N71" i="67"/>
  <c r="P71" i="67" s="1"/>
  <c r="M72" i="67" s="1"/>
  <c r="B91" i="76" l="1"/>
  <c r="F90" i="76"/>
  <c r="C90" i="76" s="1"/>
  <c r="G33" i="80"/>
  <c r="B34" i="80"/>
  <c r="B34" i="79"/>
  <c r="G33" i="79"/>
  <c r="G33" i="78"/>
  <c r="B34" i="78"/>
  <c r="N72" i="67"/>
  <c r="P72" i="67" s="1"/>
  <c r="M73" i="67" s="1"/>
  <c r="B92" i="76" l="1"/>
  <c r="F91" i="76"/>
  <c r="C91" i="76" s="1"/>
  <c r="C34" i="80"/>
  <c r="F34" i="80" s="1"/>
  <c r="C34" i="79"/>
  <c r="F34" i="79" s="1"/>
  <c r="C34" i="78"/>
  <c r="F34" i="78" s="1"/>
  <c r="N73" i="67"/>
  <c r="P73" i="67" s="1"/>
  <c r="M74" i="67" s="1"/>
  <c r="B93" i="76" l="1"/>
  <c r="F92" i="76"/>
  <c r="C92" i="76" s="1"/>
  <c r="G34" i="80"/>
  <c r="B35" i="80"/>
  <c r="B35" i="79"/>
  <c r="G34" i="79"/>
  <c r="B35" i="78"/>
  <c r="G34" i="78"/>
  <c r="N74" i="67"/>
  <c r="P74" i="67" s="1"/>
  <c r="M75" i="67" s="1"/>
  <c r="N75" i="67" s="1"/>
  <c r="B94" i="76" l="1"/>
  <c r="F93" i="76"/>
  <c r="C93" i="76" s="1"/>
  <c r="C35" i="80"/>
  <c r="F35" i="80"/>
  <c r="C35" i="79"/>
  <c r="F35" i="79" s="1"/>
  <c r="C35" i="78"/>
  <c r="F35" i="78" s="1"/>
  <c r="M76" i="67"/>
  <c r="P75" i="67"/>
  <c r="B95" i="76" l="1"/>
  <c r="F94" i="76"/>
  <c r="C94" i="76" s="1"/>
  <c r="G35" i="80"/>
  <c r="B36" i="80"/>
  <c r="B36" i="79"/>
  <c r="G35" i="79"/>
  <c r="G35" i="78"/>
  <c r="B36" i="78"/>
  <c r="N76" i="67"/>
  <c r="M77" i="67" s="1"/>
  <c r="N77" i="67" s="1"/>
  <c r="M78" i="67" s="1"/>
  <c r="B96" i="76" l="1"/>
  <c r="F95" i="76"/>
  <c r="C95" i="76" s="1"/>
  <c r="C36" i="80"/>
  <c r="F36" i="80" s="1"/>
  <c r="C36" i="79"/>
  <c r="F36" i="79" s="1"/>
  <c r="C36" i="78"/>
  <c r="F36" i="78" s="1"/>
  <c r="N78" i="67"/>
  <c r="M79" i="67" s="1"/>
  <c r="B97" i="76" l="1"/>
  <c r="F96" i="76"/>
  <c r="C96" i="76" s="1"/>
  <c r="B37" i="80"/>
  <c r="G36" i="80"/>
  <c r="B37" i="79"/>
  <c r="G36" i="79"/>
  <c r="B37" i="78"/>
  <c r="G36" i="78"/>
  <c r="N79" i="67"/>
  <c r="M80" i="67" s="1"/>
  <c r="B98" i="76" l="1"/>
  <c r="F97" i="76"/>
  <c r="C97" i="76" s="1"/>
  <c r="C37" i="80"/>
  <c r="F37" i="80"/>
  <c r="C37" i="79"/>
  <c r="F37" i="79" s="1"/>
  <c r="C37" i="78"/>
  <c r="F37" i="78" s="1"/>
  <c r="N80" i="67"/>
  <c r="M81" i="67" s="1"/>
  <c r="B99" i="76" l="1"/>
  <c r="F98" i="76"/>
  <c r="C98" i="76" s="1"/>
  <c r="G37" i="80"/>
  <c r="B38" i="80"/>
  <c r="B38" i="79"/>
  <c r="G37" i="79"/>
  <c r="G37" i="78"/>
  <c r="B38" i="78"/>
  <c r="N81" i="67"/>
  <c r="M82" i="67" s="1"/>
  <c r="N82" i="67" s="1"/>
  <c r="M83" i="67" s="1"/>
  <c r="B100" i="76" l="1"/>
  <c r="F99" i="76"/>
  <c r="C99" i="76" s="1"/>
  <c r="C38" i="80"/>
  <c r="F38" i="80" s="1"/>
  <c r="C38" i="79"/>
  <c r="F38" i="79" s="1"/>
  <c r="C38" i="78"/>
  <c r="F38" i="78" s="1"/>
  <c r="N83" i="67"/>
  <c r="M84" i="67" s="1"/>
  <c r="B101" i="76" l="1"/>
  <c r="F100" i="76"/>
  <c r="C100" i="76" s="1"/>
  <c r="B39" i="80"/>
  <c r="G38" i="80"/>
  <c r="B39" i="79"/>
  <c r="G38" i="79"/>
  <c r="B39" i="78"/>
  <c r="G38" i="78"/>
  <c r="N84" i="67"/>
  <c r="M85" i="67" s="1"/>
  <c r="N85" i="67" s="1"/>
  <c r="B102" i="76" l="1"/>
  <c r="F101" i="76"/>
  <c r="C101" i="76" s="1"/>
  <c r="C39" i="80"/>
  <c r="F39" i="80"/>
  <c r="C39" i="79"/>
  <c r="F39" i="79" s="1"/>
  <c r="C39" i="78"/>
  <c r="F39" i="78" s="1"/>
  <c r="E38" i="60"/>
  <c r="D38" i="60"/>
  <c r="E37" i="60"/>
  <c r="D37" i="60"/>
  <c r="E36" i="60"/>
  <c r="D36" i="60"/>
  <c r="E35" i="60"/>
  <c r="D35" i="60"/>
  <c r="E34" i="60"/>
  <c r="D34" i="60"/>
  <c r="E33" i="60"/>
  <c r="D33" i="60"/>
  <c r="E32" i="60"/>
  <c r="D32" i="60"/>
  <c r="E31" i="60"/>
  <c r="D31" i="60"/>
  <c r="E30" i="60"/>
  <c r="D30" i="60"/>
  <c r="E29" i="60"/>
  <c r="D29" i="60"/>
  <c r="E28" i="60"/>
  <c r="D28" i="60"/>
  <c r="E27" i="60"/>
  <c r="D27" i="60"/>
  <c r="E26" i="60"/>
  <c r="D26" i="60"/>
  <c r="F26" i="60" s="1"/>
  <c r="E25" i="60"/>
  <c r="D25" i="60"/>
  <c r="E24" i="60"/>
  <c r="D24" i="60"/>
  <c r="E23" i="60"/>
  <c r="D23" i="60"/>
  <c r="E22" i="60"/>
  <c r="D22" i="60"/>
  <c r="E21" i="60"/>
  <c r="D21" i="60"/>
  <c r="E20" i="60"/>
  <c r="D20" i="60"/>
  <c r="E19" i="60"/>
  <c r="D19" i="60"/>
  <c r="E18" i="60"/>
  <c r="D18" i="60"/>
  <c r="E17" i="60"/>
  <c r="D17" i="60"/>
  <c r="E16" i="60"/>
  <c r="D16" i="60"/>
  <c r="P15" i="60"/>
  <c r="E15" i="60"/>
  <c r="D15" i="60"/>
  <c r="P14" i="60"/>
  <c r="E14" i="60"/>
  <c r="D14" i="60"/>
  <c r="E13" i="60"/>
  <c r="D13" i="60"/>
  <c r="E12" i="60"/>
  <c r="D12" i="60"/>
  <c r="E11" i="60"/>
  <c r="D11" i="60"/>
  <c r="E10" i="60"/>
  <c r="D10" i="60"/>
  <c r="E9" i="60"/>
  <c r="D9" i="60"/>
  <c r="E8" i="60"/>
  <c r="D8" i="60"/>
  <c r="S7" i="60"/>
  <c r="S8" i="60" s="1"/>
  <c r="S9" i="60" s="1"/>
  <c r="E7" i="60"/>
  <c r="D7" i="60"/>
  <c r="M6" i="60"/>
  <c r="E6" i="60"/>
  <c r="D6" i="60"/>
  <c r="E5" i="60"/>
  <c r="D5" i="60"/>
  <c r="M4" i="60"/>
  <c r="E4" i="60"/>
  <c r="D4" i="60"/>
  <c r="S3" i="60"/>
  <c r="G3" i="60"/>
  <c r="G4" i="60" s="1"/>
  <c r="G5" i="60" s="1"/>
  <c r="G6" i="60" s="1"/>
  <c r="E3" i="60"/>
  <c r="D3" i="60"/>
  <c r="E2" i="60"/>
  <c r="F2" i="60" s="1"/>
  <c r="B103" i="76" l="1"/>
  <c r="F102" i="76"/>
  <c r="C102" i="76" s="1"/>
  <c r="G39" i="80"/>
  <c r="B40" i="80"/>
  <c r="B40" i="79"/>
  <c r="G39" i="79"/>
  <c r="G39" i="78"/>
  <c r="B40" i="78"/>
  <c r="F4" i="60"/>
  <c r="F9" i="60"/>
  <c r="F10" i="60"/>
  <c r="F11" i="60"/>
  <c r="F15" i="60"/>
  <c r="F16" i="60"/>
  <c r="F24" i="60"/>
  <c r="F28" i="60"/>
  <c r="F29" i="60"/>
  <c r="F17" i="60"/>
  <c r="F6" i="60"/>
  <c r="F33" i="60"/>
  <c r="F27" i="60"/>
  <c r="F36" i="60"/>
  <c r="F18" i="60"/>
  <c r="F7" i="60"/>
  <c r="F3" i="60"/>
  <c r="F5" i="60"/>
  <c r="F19" i="60"/>
  <c r="F34" i="60"/>
  <c r="F20" i="60"/>
  <c r="F35" i="60"/>
  <c r="F37" i="60"/>
  <c r="F25" i="60"/>
  <c r="F13" i="60"/>
  <c r="F21" i="60"/>
  <c r="F23" i="60"/>
  <c r="F31" i="60"/>
  <c r="F32" i="60"/>
  <c r="F12" i="60"/>
  <c r="F14" i="60"/>
  <c r="F8" i="60"/>
  <c r="F22" i="60"/>
  <c r="F30" i="60"/>
  <c r="F38" i="60"/>
  <c r="G7" i="60"/>
  <c r="H6" i="60"/>
  <c r="E40" i="60"/>
  <c r="B104" i="76" l="1"/>
  <c r="F103" i="76"/>
  <c r="C103" i="76" s="1"/>
  <c r="C40" i="80"/>
  <c r="F40" i="80" s="1"/>
  <c r="C40" i="79"/>
  <c r="F40" i="79" s="1"/>
  <c r="C40" i="78"/>
  <c r="F40" i="78" s="1"/>
  <c r="M7" i="60"/>
  <c r="M8" i="60" s="1"/>
  <c r="M9" i="60" s="1"/>
  <c r="F40" i="60"/>
  <c r="F41" i="60" s="1"/>
  <c r="G8" i="60"/>
  <c r="H7" i="60"/>
  <c r="I6" i="60"/>
  <c r="J6" i="60"/>
  <c r="B105" i="76" l="1"/>
  <c r="F104" i="76"/>
  <c r="C104" i="76" s="1"/>
  <c r="B41" i="80"/>
  <c r="G40" i="80"/>
  <c r="B41" i="79"/>
  <c r="G40" i="79"/>
  <c r="B41" i="78"/>
  <c r="G40" i="78"/>
  <c r="I7" i="60"/>
  <c r="J7" i="60"/>
  <c r="G9" i="60"/>
  <c r="H8" i="60"/>
  <c r="B106" i="76" l="1"/>
  <c r="F105" i="76"/>
  <c r="C105" i="76" s="1"/>
  <c r="C41" i="80"/>
  <c r="F41" i="80"/>
  <c r="C41" i="79"/>
  <c r="F41" i="79" s="1"/>
  <c r="C41" i="78"/>
  <c r="F41" i="78" s="1"/>
  <c r="I8" i="60"/>
  <c r="J8" i="60" s="1"/>
  <c r="G10" i="60"/>
  <c r="H9" i="60"/>
  <c r="B107" i="76" l="1"/>
  <c r="F106" i="76"/>
  <c r="C106" i="76" s="1"/>
  <c r="G41" i="80"/>
  <c r="B42" i="80"/>
  <c r="B42" i="79"/>
  <c r="G41" i="79"/>
  <c r="G41" i="78"/>
  <c r="B42" i="78"/>
  <c r="I9" i="60"/>
  <c r="J9" i="60" s="1"/>
  <c r="G11" i="60"/>
  <c r="H10" i="60"/>
  <c r="B108" i="76" l="1"/>
  <c r="F107" i="76"/>
  <c r="C107" i="76" s="1"/>
  <c r="C42" i="80"/>
  <c r="F42" i="80" s="1"/>
  <c r="C42" i="79"/>
  <c r="F42" i="79" s="1"/>
  <c r="C42" i="78"/>
  <c r="F42" i="78" s="1"/>
  <c r="H11" i="60"/>
  <c r="G12" i="60"/>
  <c r="I10" i="60"/>
  <c r="J10" i="60" s="1"/>
  <c r="B109" i="76" l="1"/>
  <c r="F108" i="76"/>
  <c r="C108" i="76" s="1"/>
  <c r="G42" i="80"/>
  <c r="B43" i="80"/>
  <c r="B43" i="79"/>
  <c r="G42" i="79"/>
  <c r="B43" i="78"/>
  <c r="G42" i="78"/>
  <c r="G13" i="60"/>
  <c r="H12" i="60"/>
  <c r="I11" i="60"/>
  <c r="J11" i="60" s="1"/>
  <c r="B110" i="76" l="1"/>
  <c r="F109" i="76"/>
  <c r="C109" i="76" s="1"/>
  <c r="C43" i="80"/>
  <c r="F43" i="80" s="1"/>
  <c r="C43" i="79"/>
  <c r="F43" i="79" s="1"/>
  <c r="C43" i="78"/>
  <c r="F43" i="78" s="1"/>
  <c r="I12" i="60"/>
  <c r="J12" i="60" s="1"/>
  <c r="H13" i="60"/>
  <c r="G14" i="60"/>
  <c r="B111" i="76" l="1"/>
  <c r="F110" i="76"/>
  <c r="C110" i="76" s="1"/>
  <c r="G43" i="80"/>
  <c r="B44" i="80"/>
  <c r="B44" i="79"/>
  <c r="G43" i="79"/>
  <c r="G43" i="78"/>
  <c r="B44" i="78"/>
  <c r="G15" i="60"/>
  <c r="H14" i="60"/>
  <c r="I13" i="60"/>
  <c r="J13" i="60" s="1"/>
  <c r="B112" i="76" l="1"/>
  <c r="F111" i="76"/>
  <c r="C111" i="76" s="1"/>
  <c r="C44" i="80"/>
  <c r="F44" i="80" s="1"/>
  <c r="C44" i="79"/>
  <c r="F44" i="79" s="1"/>
  <c r="C44" i="78"/>
  <c r="F44" i="78" s="1"/>
  <c r="I14" i="60"/>
  <c r="J14" i="60" s="1"/>
  <c r="H15" i="60"/>
  <c r="G16" i="60"/>
  <c r="B113" i="76" l="1"/>
  <c r="F112" i="76"/>
  <c r="C112" i="76" s="1"/>
  <c r="B45" i="80"/>
  <c r="G44" i="80"/>
  <c r="B45" i="79"/>
  <c r="G44" i="79"/>
  <c r="B45" i="78"/>
  <c r="G44" i="78"/>
  <c r="G17" i="60"/>
  <c r="H16" i="60"/>
  <c r="I15" i="60"/>
  <c r="J15" i="60" s="1"/>
  <c r="B114" i="76" l="1"/>
  <c r="F113" i="76"/>
  <c r="C113" i="76" s="1"/>
  <c r="C45" i="80"/>
  <c r="F45" i="80"/>
  <c r="C45" i="79"/>
  <c r="F45" i="79" s="1"/>
  <c r="C45" i="78"/>
  <c r="F45" i="78" s="1"/>
  <c r="I16" i="60"/>
  <c r="J16" i="60" s="1"/>
  <c r="H17" i="60"/>
  <c r="G18" i="60"/>
  <c r="B115" i="76" l="1"/>
  <c r="F114" i="76"/>
  <c r="C114" i="76" s="1"/>
  <c r="G45" i="80"/>
  <c r="B46" i="80"/>
  <c r="B46" i="79"/>
  <c r="G45" i="79"/>
  <c r="G45" i="78"/>
  <c r="B46" i="78"/>
  <c r="G19" i="60"/>
  <c r="H18" i="60"/>
  <c r="I17" i="60"/>
  <c r="J17" i="60" s="1"/>
  <c r="B116" i="76" l="1"/>
  <c r="F115" i="76"/>
  <c r="C115" i="76" s="1"/>
  <c r="C46" i="80"/>
  <c r="J12" i="80" s="1"/>
  <c r="C46" i="79"/>
  <c r="J12" i="79" s="1"/>
  <c r="C46" i="78"/>
  <c r="I18" i="60"/>
  <c r="J18" i="60"/>
  <c r="G20" i="60"/>
  <c r="H19" i="60"/>
  <c r="B117" i="76" l="1"/>
  <c r="F116" i="76"/>
  <c r="C116" i="76" s="1"/>
  <c r="F46" i="79"/>
  <c r="F46" i="80"/>
  <c r="B47" i="79"/>
  <c r="G46" i="79"/>
  <c r="F46" i="78"/>
  <c r="B47" i="78" s="1"/>
  <c r="J12" i="78"/>
  <c r="I19" i="60"/>
  <c r="J19" i="60" s="1"/>
  <c r="G21" i="60"/>
  <c r="H20" i="60"/>
  <c r="B118" i="76" l="1"/>
  <c r="F117" i="76"/>
  <c r="C117" i="76" s="1"/>
  <c r="B47" i="80"/>
  <c r="G46" i="80"/>
  <c r="C47" i="79"/>
  <c r="F47" i="79" s="1"/>
  <c r="G46" i="78"/>
  <c r="C47" i="78"/>
  <c r="F47" i="78" s="1"/>
  <c r="I20" i="60"/>
  <c r="J20" i="60" s="1"/>
  <c r="G22" i="60"/>
  <c r="H21" i="60"/>
  <c r="B119" i="76" l="1"/>
  <c r="F118" i="76"/>
  <c r="C118" i="76" s="1"/>
  <c r="C47" i="80"/>
  <c r="F47" i="80"/>
  <c r="B48" i="79"/>
  <c r="G47" i="79"/>
  <c r="G47" i="78"/>
  <c r="B48" i="78"/>
  <c r="I21" i="60"/>
  <c r="J21" i="60" s="1"/>
  <c r="G23" i="60"/>
  <c r="H22" i="60"/>
  <c r="B120" i="76" l="1"/>
  <c r="F119" i="76"/>
  <c r="C119" i="76" s="1"/>
  <c r="G47" i="80"/>
  <c r="B48" i="80"/>
  <c r="C48" i="79"/>
  <c r="F48" i="79" s="1"/>
  <c r="C48" i="78"/>
  <c r="F48" i="78" s="1"/>
  <c r="I22" i="60"/>
  <c r="J22" i="60"/>
  <c r="G24" i="60"/>
  <c r="H23" i="60"/>
  <c r="B121" i="76" l="1"/>
  <c r="F120" i="76"/>
  <c r="C120" i="76" s="1"/>
  <c r="C48" i="80"/>
  <c r="F48" i="80" s="1"/>
  <c r="B49" i="79"/>
  <c r="G48" i="79"/>
  <c r="B49" i="78"/>
  <c r="G48" i="78"/>
  <c r="I23" i="60"/>
  <c r="J23" i="60" s="1"/>
  <c r="H24" i="60"/>
  <c r="G25" i="60"/>
  <c r="B122" i="76" l="1"/>
  <c r="F121" i="76"/>
  <c r="C121" i="76" s="1"/>
  <c r="B49" i="80"/>
  <c r="G48" i="80"/>
  <c r="C49" i="79"/>
  <c r="F49" i="79" s="1"/>
  <c r="C49" i="78"/>
  <c r="F49" i="78" s="1"/>
  <c r="G26" i="60"/>
  <c r="H25" i="60"/>
  <c r="I24" i="60"/>
  <c r="J24" i="60" s="1"/>
  <c r="B123" i="76" l="1"/>
  <c r="F122" i="76"/>
  <c r="C122" i="76" s="1"/>
  <c r="C49" i="80"/>
  <c r="F49" i="80" s="1"/>
  <c r="B50" i="79"/>
  <c r="G49" i="79"/>
  <c r="G49" i="78"/>
  <c r="B50" i="78"/>
  <c r="I25" i="60"/>
  <c r="J25" i="60" s="1"/>
  <c r="H26" i="60"/>
  <c r="G27" i="60"/>
  <c r="B124" i="76" l="1"/>
  <c r="F123" i="76"/>
  <c r="C123" i="76" s="1"/>
  <c r="G49" i="80"/>
  <c r="B50" i="80"/>
  <c r="C50" i="79"/>
  <c r="F50" i="79" s="1"/>
  <c r="C50" i="78"/>
  <c r="F50" i="78" s="1"/>
  <c r="I26" i="60"/>
  <c r="J26" i="60" s="1"/>
  <c r="G28" i="60"/>
  <c r="H27" i="60"/>
  <c r="B125" i="76" l="1"/>
  <c r="F124" i="76"/>
  <c r="C124" i="76" s="1"/>
  <c r="C50" i="80"/>
  <c r="F50" i="80" s="1"/>
  <c r="B51" i="79"/>
  <c r="G50" i="79"/>
  <c r="B51" i="78"/>
  <c r="G50" i="78"/>
  <c r="I27" i="60"/>
  <c r="J27" i="60" s="1"/>
  <c r="H28" i="60"/>
  <c r="G29" i="60"/>
  <c r="B126" i="76" l="1"/>
  <c r="F125" i="76"/>
  <c r="C125" i="76" s="1"/>
  <c r="G50" i="80"/>
  <c r="B51" i="80"/>
  <c r="C51" i="79"/>
  <c r="F51" i="79" s="1"/>
  <c r="C51" i="78"/>
  <c r="F51" i="78" s="1"/>
  <c r="H29" i="60"/>
  <c r="G30" i="60"/>
  <c r="I28" i="60"/>
  <c r="J28" i="60" s="1"/>
  <c r="B127" i="76" l="1"/>
  <c r="F126" i="76"/>
  <c r="C126" i="76" s="1"/>
  <c r="C51" i="80"/>
  <c r="F51" i="80"/>
  <c r="B52" i="79"/>
  <c r="G51" i="79"/>
  <c r="G51" i="78"/>
  <c r="B52" i="78"/>
  <c r="G31" i="60"/>
  <c r="H30" i="60"/>
  <c r="I29" i="60"/>
  <c r="J29" i="60" s="1"/>
  <c r="B128" i="76" l="1"/>
  <c r="F127" i="76"/>
  <c r="C127" i="76" s="1"/>
  <c r="G51" i="80"/>
  <c r="B52" i="80"/>
  <c r="C52" i="79"/>
  <c r="F52" i="79" s="1"/>
  <c r="C52" i="78"/>
  <c r="F52" i="78" s="1"/>
  <c r="I30" i="60"/>
  <c r="J30" i="60" s="1"/>
  <c r="H31" i="60"/>
  <c r="G32" i="60"/>
  <c r="B129" i="76" l="1"/>
  <c r="F128" i="76"/>
  <c r="C128" i="76" s="1"/>
  <c r="C52" i="80"/>
  <c r="F52" i="80" s="1"/>
  <c r="B53" i="79"/>
  <c r="G52" i="79"/>
  <c r="B53" i="78"/>
  <c r="G52" i="78"/>
  <c r="G33" i="60"/>
  <c r="H32" i="60"/>
  <c r="I31" i="60"/>
  <c r="J31" i="60" s="1"/>
  <c r="B130" i="76" l="1"/>
  <c r="F129" i="76"/>
  <c r="C129" i="76" s="1"/>
  <c r="G52" i="80"/>
  <c r="B53" i="80"/>
  <c r="C53" i="79"/>
  <c r="F53" i="79" s="1"/>
  <c r="C53" i="78"/>
  <c r="F53" i="78" s="1"/>
  <c r="I32" i="60"/>
  <c r="J32" i="60" s="1"/>
  <c r="H33" i="60"/>
  <c r="G34" i="60"/>
  <c r="B131" i="76" l="1"/>
  <c r="F130" i="76"/>
  <c r="C130" i="76" s="1"/>
  <c r="C53" i="80"/>
  <c r="F53" i="80" s="1"/>
  <c r="B54" i="79"/>
  <c r="G53" i="79"/>
  <c r="G53" i="78"/>
  <c r="B54" i="78"/>
  <c r="G35" i="60"/>
  <c r="H34" i="60"/>
  <c r="I33" i="60"/>
  <c r="J33" i="60"/>
  <c r="B132" i="76" l="1"/>
  <c r="F131" i="76"/>
  <c r="C131" i="76" s="1"/>
  <c r="G53" i="80"/>
  <c r="B54" i="80"/>
  <c r="C54" i="79"/>
  <c r="F54" i="79" s="1"/>
  <c r="C54" i="78"/>
  <c r="F54" i="78" s="1"/>
  <c r="I34" i="60"/>
  <c r="J34" i="60"/>
  <c r="H35" i="60"/>
  <c r="G36" i="60"/>
  <c r="B133" i="76" l="1"/>
  <c r="F132" i="76"/>
  <c r="C132" i="76" s="1"/>
  <c r="C54" i="80"/>
  <c r="F54" i="80" s="1"/>
  <c r="B55" i="79"/>
  <c r="G54" i="79"/>
  <c r="B55" i="78"/>
  <c r="G54" i="78"/>
  <c r="H36" i="60"/>
  <c r="G37" i="60"/>
  <c r="I35" i="60"/>
  <c r="J35" i="60" s="1"/>
  <c r="B134" i="76" l="1"/>
  <c r="F133" i="76"/>
  <c r="C133" i="76" s="1"/>
  <c r="B55" i="80"/>
  <c r="G54" i="80"/>
  <c r="C55" i="79"/>
  <c r="F55" i="79" s="1"/>
  <c r="C55" i="78"/>
  <c r="F55" i="78" s="1"/>
  <c r="G38" i="60"/>
  <c r="H38" i="60" s="1"/>
  <c r="H37" i="60"/>
  <c r="I36" i="60"/>
  <c r="J36" i="60"/>
  <c r="B135" i="76" l="1"/>
  <c r="F134" i="76"/>
  <c r="C134" i="76" s="1"/>
  <c r="C55" i="80"/>
  <c r="F55" i="80"/>
  <c r="B56" i="79"/>
  <c r="G55" i="79"/>
  <c r="G55" i="78"/>
  <c r="B56" i="78"/>
  <c r="I37" i="60"/>
  <c r="J37" i="60" s="1"/>
  <c r="I38" i="60"/>
  <c r="J38" i="60"/>
  <c r="B136" i="76" l="1"/>
  <c r="F135" i="76"/>
  <c r="C135" i="76" s="1"/>
  <c r="G55" i="80"/>
  <c r="B56" i="80"/>
  <c r="C56" i="79"/>
  <c r="F56" i="79" s="1"/>
  <c r="C56" i="78"/>
  <c r="F56" i="78" s="1"/>
  <c r="J37" i="59"/>
  <c r="J36" i="59"/>
  <c r="J35" i="59"/>
  <c r="J34" i="59"/>
  <c r="J33" i="59"/>
  <c r="J32" i="59"/>
  <c r="J31" i="59"/>
  <c r="J30" i="59"/>
  <c r="J29" i="59"/>
  <c r="J28" i="59"/>
  <c r="J27" i="59"/>
  <c r="J26" i="59"/>
  <c r="J25" i="59"/>
  <c r="J24" i="59"/>
  <c r="J23" i="59"/>
  <c r="J22" i="59"/>
  <c r="J21" i="59"/>
  <c r="J20" i="59"/>
  <c r="J19" i="59"/>
  <c r="J18" i="59"/>
  <c r="J17" i="59"/>
  <c r="J16" i="59"/>
  <c r="J15" i="59"/>
  <c r="J14" i="59"/>
  <c r="J13" i="59"/>
  <c r="J12" i="59"/>
  <c r="J11" i="59"/>
  <c r="J10" i="59"/>
  <c r="J9" i="59"/>
  <c r="C9" i="59"/>
  <c r="J8" i="59"/>
  <c r="J7" i="59"/>
  <c r="J6" i="59"/>
  <c r="J5" i="59"/>
  <c r="J4" i="59"/>
  <c r="B137" i="76" l="1"/>
  <c r="F136" i="76"/>
  <c r="C136" i="76" s="1"/>
  <c r="C56" i="80"/>
  <c r="F56" i="80" s="1"/>
  <c r="B57" i="79"/>
  <c r="G56" i="79"/>
  <c r="B57" i="78"/>
  <c r="G56" i="78"/>
  <c r="F11" i="59"/>
  <c r="B138" i="76" l="1"/>
  <c r="F137" i="76"/>
  <c r="C137" i="76" s="1"/>
  <c r="B57" i="80"/>
  <c r="G56" i="80"/>
  <c r="C57" i="79"/>
  <c r="F57" i="79" s="1"/>
  <c r="C57" i="78"/>
  <c r="F57" i="78" s="1"/>
  <c r="AZ39" i="1"/>
  <c r="AZ51" i="1" s="1"/>
  <c r="BD39" i="1"/>
  <c r="BD51" i="1" s="1"/>
  <c r="BC39" i="1"/>
  <c r="BC51" i="1" s="1"/>
  <c r="BB39" i="1"/>
  <c r="BB51" i="1" s="1"/>
  <c r="BA39" i="1"/>
  <c r="BA51" i="1" s="1"/>
  <c r="B139" i="76" l="1"/>
  <c r="F138" i="76"/>
  <c r="C138" i="76" s="1"/>
  <c r="C57" i="80"/>
  <c r="F57" i="80"/>
  <c r="B58" i="79"/>
  <c r="G57" i="79"/>
  <c r="G57" i="78"/>
  <c r="B58" i="78"/>
  <c r="D278" i="32"/>
  <c r="B140" i="76" l="1"/>
  <c r="F139" i="76"/>
  <c r="C139" i="76" s="1"/>
  <c r="G57" i="80"/>
  <c r="B58" i="80"/>
  <c r="C58" i="79"/>
  <c r="F58" i="79" s="1"/>
  <c r="C58" i="78"/>
  <c r="F58" i="78" s="1"/>
  <c r="D65" i="58"/>
  <c r="D66" i="58"/>
  <c r="D67" i="58"/>
  <c r="D68" i="58"/>
  <c r="D69" i="58"/>
  <c r="F62" i="58"/>
  <c r="F63" i="58"/>
  <c r="F64" i="58"/>
  <c r="F65" i="58"/>
  <c r="F66" i="58"/>
  <c r="F67" i="58"/>
  <c r="F68" i="58"/>
  <c r="F69" i="58"/>
  <c r="F61" i="58"/>
  <c r="D62" i="58"/>
  <c r="D63" i="58"/>
  <c r="D64" i="58"/>
  <c r="D61" i="58"/>
  <c r="B141" i="76" l="1"/>
  <c r="F140" i="76"/>
  <c r="C140" i="76" s="1"/>
  <c r="C58" i="80"/>
  <c r="F58" i="80" s="1"/>
  <c r="B59" i="79"/>
  <c r="G58" i="79"/>
  <c r="B59" i="78"/>
  <c r="G58" i="78"/>
  <c r="I61" i="58"/>
  <c r="I64" i="58"/>
  <c r="I62" i="58"/>
  <c r="I70" i="58" s="1"/>
  <c r="I63" i="58"/>
  <c r="B142" i="76" l="1"/>
  <c r="F141" i="76"/>
  <c r="C141" i="76" s="1"/>
  <c r="G58" i="80"/>
  <c r="B59" i="80"/>
  <c r="C59" i="79"/>
  <c r="F59" i="79" s="1"/>
  <c r="C59" i="78"/>
  <c r="F59" i="78" s="1"/>
  <c r="G51" i="58"/>
  <c r="E51" i="58"/>
  <c r="G50" i="58"/>
  <c r="E50" i="58"/>
  <c r="G49" i="58"/>
  <c r="E49" i="58"/>
  <c r="G48" i="58"/>
  <c r="E48" i="58"/>
  <c r="G47" i="58"/>
  <c r="H47" i="58" s="1"/>
  <c r="G46" i="58"/>
  <c r="E46" i="58"/>
  <c r="H46" i="58" s="1"/>
  <c r="G45" i="58"/>
  <c r="E45" i="58"/>
  <c r="G44" i="58"/>
  <c r="E44" i="58"/>
  <c r="H44" i="58" s="1"/>
  <c r="G43" i="58"/>
  <c r="E43" i="58"/>
  <c r="G42" i="58"/>
  <c r="E42" i="58"/>
  <c r="G41" i="58"/>
  <c r="E41" i="58"/>
  <c r="G40" i="58"/>
  <c r="E40" i="58"/>
  <c r="G39" i="58"/>
  <c r="E39" i="58"/>
  <c r="G38" i="58"/>
  <c r="E38" i="58"/>
  <c r="P20" i="58"/>
  <c r="B143" i="76" l="1"/>
  <c r="F142" i="76"/>
  <c r="C142" i="76" s="1"/>
  <c r="C59" i="80"/>
  <c r="F59" i="80"/>
  <c r="B60" i="79"/>
  <c r="G59" i="79"/>
  <c r="G59" i="78"/>
  <c r="B60" i="78"/>
  <c r="H48" i="58"/>
  <c r="H50" i="58"/>
  <c r="H41" i="58"/>
  <c r="H45" i="58"/>
  <c r="H42" i="58"/>
  <c r="H51" i="58"/>
  <c r="H49" i="58"/>
  <c r="H43" i="58"/>
  <c r="H40" i="58"/>
  <c r="H39" i="58"/>
  <c r="H38" i="58"/>
  <c r="AN39" i="1"/>
  <c r="B144" i="76" l="1"/>
  <c r="F143" i="76"/>
  <c r="C143" i="76" s="1"/>
  <c r="G59" i="80"/>
  <c r="B60" i="80"/>
  <c r="C60" i="79"/>
  <c r="F60" i="79" s="1"/>
  <c r="C60" i="78"/>
  <c r="F60" i="78" s="1"/>
  <c r="H53" i="58"/>
  <c r="G82" i="55"/>
  <c r="G69" i="55"/>
  <c r="B145" i="76" l="1"/>
  <c r="F144" i="76"/>
  <c r="C144" i="76" s="1"/>
  <c r="C60" i="80"/>
  <c r="F60" i="80" s="1"/>
  <c r="B61" i="79"/>
  <c r="G60" i="79"/>
  <c r="B61" i="78"/>
  <c r="G60" i="78"/>
  <c r="G20" i="58"/>
  <c r="G21" i="58"/>
  <c r="G22" i="58"/>
  <c r="G23" i="58"/>
  <c r="G24" i="58"/>
  <c r="G25" i="58"/>
  <c r="G26" i="58"/>
  <c r="G27" i="58"/>
  <c r="G28" i="58"/>
  <c r="G29" i="58"/>
  <c r="G30" i="58"/>
  <c r="G31" i="58"/>
  <c r="G32" i="58"/>
  <c r="E20" i="58"/>
  <c r="E21" i="58"/>
  <c r="E22" i="58"/>
  <c r="E23" i="58"/>
  <c r="E24" i="58"/>
  <c r="E25" i="58"/>
  <c r="E26" i="58"/>
  <c r="E27" i="58"/>
  <c r="E28" i="58"/>
  <c r="E29" i="58"/>
  <c r="E30" i="58"/>
  <c r="E31" i="58"/>
  <c r="E32" i="58"/>
  <c r="B146" i="76" l="1"/>
  <c r="F145" i="76"/>
  <c r="C145" i="76" s="1"/>
  <c r="B61" i="80"/>
  <c r="G60" i="80"/>
  <c r="C61" i="79"/>
  <c r="F61" i="79" s="1"/>
  <c r="C61" i="78"/>
  <c r="F61" i="78" s="1"/>
  <c r="H20" i="58"/>
  <c r="H21" i="58"/>
  <c r="H23" i="58"/>
  <c r="H24" i="58"/>
  <c r="H25" i="58"/>
  <c r="H26" i="58"/>
  <c r="H27" i="58"/>
  <c r="H28" i="58"/>
  <c r="H29" i="58"/>
  <c r="H30" i="58"/>
  <c r="H31" i="58"/>
  <c r="H32" i="58"/>
  <c r="G19" i="58"/>
  <c r="E19" i="58"/>
  <c r="G3" i="58"/>
  <c r="G4" i="58"/>
  <c r="G5" i="58"/>
  <c r="G2" i="58"/>
  <c r="E3" i="58"/>
  <c r="E4" i="58"/>
  <c r="E5" i="58"/>
  <c r="E2" i="58"/>
  <c r="B147" i="76" l="1"/>
  <c r="F146" i="76"/>
  <c r="C146" i="76" s="1"/>
  <c r="C61" i="80"/>
  <c r="F61" i="80"/>
  <c r="B62" i="79"/>
  <c r="G61" i="79"/>
  <c r="G61" i="78"/>
  <c r="B62" i="78"/>
  <c r="H5" i="58"/>
  <c r="H4" i="58"/>
  <c r="H3" i="58"/>
  <c r="H19" i="58"/>
  <c r="H34" i="58" s="1"/>
  <c r="B148" i="76" l="1"/>
  <c r="F147" i="76"/>
  <c r="C147" i="76" s="1"/>
  <c r="G61" i="80"/>
  <c r="B62" i="80"/>
  <c r="C62" i="79"/>
  <c r="F62" i="79" s="1"/>
  <c r="C62" i="78"/>
  <c r="F62" i="78" s="1"/>
  <c r="I34" i="55"/>
  <c r="B149" i="76" l="1"/>
  <c r="F148" i="76"/>
  <c r="C148" i="76" s="1"/>
  <c r="C62" i="80"/>
  <c r="F62" i="80" s="1"/>
  <c r="B63" i="79"/>
  <c r="G62" i="79"/>
  <c r="B63" i="78"/>
  <c r="G62" i="78"/>
  <c r="D244" i="55"/>
  <c r="D243" i="55"/>
  <c r="D242" i="55"/>
  <c r="D241" i="55"/>
  <c r="D240" i="55"/>
  <c r="D239" i="55"/>
  <c r="D238" i="55"/>
  <c r="B150" i="76" l="1"/>
  <c r="F149" i="76"/>
  <c r="C149" i="76" s="1"/>
  <c r="B63" i="80"/>
  <c r="G62" i="80"/>
  <c r="C63" i="79"/>
  <c r="F63" i="79" s="1"/>
  <c r="C63" i="78"/>
  <c r="F63" i="78" s="1"/>
  <c r="D247" i="55"/>
  <c r="Y3" i="55"/>
  <c r="Y34" i="55"/>
  <c r="Y35" i="55"/>
  <c r="B151" i="76" l="1"/>
  <c r="F150" i="76"/>
  <c r="C150" i="76" s="1"/>
  <c r="C63" i="80"/>
  <c r="F63" i="80"/>
  <c r="B64" i="79"/>
  <c r="G63" i="79"/>
  <c r="G63" i="78"/>
  <c r="B64" i="78"/>
  <c r="Y37" i="55"/>
  <c r="Y38" i="55" s="1"/>
  <c r="D167" i="55"/>
  <c r="D144" i="55"/>
  <c r="D166" i="55"/>
  <c r="D143" i="55"/>
  <c r="D165" i="55"/>
  <c r="D142" i="55"/>
  <c r="D164" i="55"/>
  <c r="D141" i="55"/>
  <c r="D163" i="55"/>
  <c r="D140" i="55"/>
  <c r="D162" i="55"/>
  <c r="D139" i="55"/>
  <c r="D161" i="55"/>
  <c r="D138" i="55"/>
  <c r="D121" i="55"/>
  <c r="D98" i="55"/>
  <c r="D120" i="55"/>
  <c r="D97" i="55"/>
  <c r="D119" i="55"/>
  <c r="D96" i="55"/>
  <c r="D118" i="55"/>
  <c r="D95" i="55"/>
  <c r="D117" i="55"/>
  <c r="D94" i="55"/>
  <c r="D116" i="55"/>
  <c r="D93" i="55"/>
  <c r="D115" i="55"/>
  <c r="D92" i="55"/>
  <c r="D233" i="55"/>
  <c r="D222" i="55"/>
  <c r="D232" i="55"/>
  <c r="D221" i="55"/>
  <c r="D231" i="55"/>
  <c r="D220" i="55"/>
  <c r="D230" i="55"/>
  <c r="D219" i="55"/>
  <c r="D229" i="55"/>
  <c r="D218" i="55"/>
  <c r="D228" i="55"/>
  <c r="D217" i="55"/>
  <c r="D227" i="55"/>
  <c r="D216" i="55"/>
  <c r="D211" i="55"/>
  <c r="D200" i="55"/>
  <c r="D210" i="55"/>
  <c r="D199" i="55"/>
  <c r="D209" i="55"/>
  <c r="D198" i="55"/>
  <c r="D208" i="55"/>
  <c r="D197" i="55"/>
  <c r="D207" i="55"/>
  <c r="D196" i="55"/>
  <c r="D206" i="55"/>
  <c r="D195" i="55"/>
  <c r="D205" i="55"/>
  <c r="D194" i="55"/>
  <c r="B152" i="76" l="1"/>
  <c r="F151" i="76"/>
  <c r="C151" i="76" s="1"/>
  <c r="G63" i="80"/>
  <c r="B64" i="80"/>
  <c r="C64" i="79"/>
  <c r="F64" i="79" s="1"/>
  <c r="C64" i="78"/>
  <c r="F64" i="78" s="1"/>
  <c r="D236" i="55"/>
  <c r="D170" i="55"/>
  <c r="D147" i="55"/>
  <c r="D124" i="55"/>
  <c r="D101" i="55"/>
  <c r="D225" i="55"/>
  <c r="D214" i="55"/>
  <c r="D203" i="55"/>
  <c r="B153" i="76" l="1"/>
  <c r="F152" i="76"/>
  <c r="C152" i="76" s="1"/>
  <c r="C64" i="80"/>
  <c r="F64" i="80" s="1"/>
  <c r="B65" i="79"/>
  <c r="G64" i="79"/>
  <c r="B65" i="78"/>
  <c r="G64" i="78"/>
  <c r="K15" i="55"/>
  <c r="K16" i="55"/>
  <c r="I15" i="55"/>
  <c r="I16" i="55"/>
  <c r="I17" i="55"/>
  <c r="K17" i="55"/>
  <c r="M17" i="55" s="1"/>
  <c r="I18" i="55"/>
  <c r="K18" i="55"/>
  <c r="M18" i="55" s="1"/>
  <c r="I19" i="55"/>
  <c r="K19" i="55"/>
  <c r="I20" i="55"/>
  <c r="K20" i="55"/>
  <c r="I21" i="55"/>
  <c r="K21" i="55"/>
  <c r="M21" i="55" s="1"/>
  <c r="I22" i="55"/>
  <c r="K22" i="55"/>
  <c r="I23" i="55"/>
  <c r="K23" i="55"/>
  <c r="I24" i="55"/>
  <c r="K24" i="55"/>
  <c r="D189" i="55"/>
  <c r="D188" i="55"/>
  <c r="D187" i="55"/>
  <c r="D186" i="55"/>
  <c r="D185" i="55"/>
  <c r="D184" i="55"/>
  <c r="D183" i="55"/>
  <c r="D178" i="55"/>
  <c r="D177" i="55"/>
  <c r="D176" i="55"/>
  <c r="D175" i="55"/>
  <c r="D174" i="55"/>
  <c r="D173" i="55"/>
  <c r="D172" i="55"/>
  <c r="B154" i="76" l="1"/>
  <c r="F153" i="76"/>
  <c r="C153" i="76" s="1"/>
  <c r="B65" i="80"/>
  <c r="G64" i="80"/>
  <c r="C65" i="79"/>
  <c r="F65" i="79" s="1"/>
  <c r="C65" i="78"/>
  <c r="F65" i="78" s="1"/>
  <c r="M23" i="55"/>
  <c r="M19" i="55"/>
  <c r="M22" i="55"/>
  <c r="M20" i="55"/>
  <c r="M24" i="55"/>
  <c r="M16" i="55"/>
  <c r="M15" i="55"/>
  <c r="D181" i="55"/>
  <c r="D192" i="55"/>
  <c r="AE29" i="55"/>
  <c r="AF29" i="55" s="1"/>
  <c r="AE30" i="55"/>
  <c r="AE31" i="55"/>
  <c r="AE32" i="55"/>
  <c r="AE33" i="55"/>
  <c r="AE34" i="55"/>
  <c r="AE35" i="55"/>
  <c r="AE36" i="55"/>
  <c r="AE37" i="55"/>
  <c r="AE26" i="55"/>
  <c r="AE27" i="55"/>
  <c r="AF27" i="55" s="1"/>
  <c r="AE28" i="55"/>
  <c r="AF28" i="55" s="1"/>
  <c r="D54" i="55"/>
  <c r="D155" i="55"/>
  <c r="D154" i="55"/>
  <c r="D153" i="55"/>
  <c r="D152" i="55"/>
  <c r="D151" i="55"/>
  <c r="D150" i="55"/>
  <c r="D149" i="55"/>
  <c r="D53" i="55"/>
  <c r="D52" i="55"/>
  <c r="D51" i="55"/>
  <c r="D50" i="55"/>
  <c r="D49" i="55"/>
  <c r="D48" i="55"/>
  <c r="D47" i="55"/>
  <c r="D64" i="55"/>
  <c r="D63" i="55"/>
  <c r="D62" i="55"/>
  <c r="D61" i="55"/>
  <c r="D60" i="55"/>
  <c r="D59" i="55"/>
  <c r="D58" i="55"/>
  <c r="D132" i="55"/>
  <c r="D131" i="55"/>
  <c r="D130" i="55"/>
  <c r="D129" i="55"/>
  <c r="D128" i="55"/>
  <c r="D127" i="55"/>
  <c r="D126" i="55"/>
  <c r="D75" i="55"/>
  <c r="D74" i="55"/>
  <c r="D73" i="55"/>
  <c r="D72" i="55"/>
  <c r="D70" i="55"/>
  <c r="D69" i="55"/>
  <c r="D109" i="55"/>
  <c r="D108" i="55"/>
  <c r="D107" i="55"/>
  <c r="D106" i="55"/>
  <c r="D105" i="55"/>
  <c r="D104" i="55"/>
  <c r="D103" i="55"/>
  <c r="G14" i="58"/>
  <c r="E14" i="58"/>
  <c r="H2" i="58"/>
  <c r="B155" i="76" l="1"/>
  <c r="F154" i="76"/>
  <c r="C154" i="76" s="1"/>
  <c r="C65" i="80"/>
  <c r="F65" i="80"/>
  <c r="B66" i="79"/>
  <c r="G65" i="79"/>
  <c r="G65" i="78"/>
  <c r="B66" i="78"/>
  <c r="H14" i="58"/>
  <c r="D56" i="55"/>
  <c r="AE43" i="55"/>
  <c r="D78" i="55"/>
  <c r="D67" i="55"/>
  <c r="D158" i="55"/>
  <c r="D135" i="55"/>
  <c r="D112" i="55"/>
  <c r="I9" i="55"/>
  <c r="I15" i="57"/>
  <c r="G15" i="57"/>
  <c r="C16" i="57"/>
  <c r="B16" i="57"/>
  <c r="B156" i="76" l="1"/>
  <c r="F155" i="76"/>
  <c r="C155" i="76" s="1"/>
  <c r="G65" i="80"/>
  <c r="B66" i="80"/>
  <c r="C66" i="79"/>
  <c r="F66" i="79" s="1"/>
  <c r="C66" i="78"/>
  <c r="F66" i="78" s="1"/>
  <c r="D86" i="55"/>
  <c r="D85" i="55"/>
  <c r="D81" i="55"/>
  <c r="D82" i="55"/>
  <c r="D83" i="55"/>
  <c r="D84" i="55"/>
  <c r="D80" i="55"/>
  <c r="B42" i="55"/>
  <c r="P38" i="55"/>
  <c r="B157" i="76" l="1"/>
  <c r="F156" i="76"/>
  <c r="C156" i="76" s="1"/>
  <c r="C66" i="80"/>
  <c r="F66" i="80" s="1"/>
  <c r="B67" i="79"/>
  <c r="G66" i="79"/>
  <c r="B67" i="78"/>
  <c r="G66" i="78"/>
  <c r="D89" i="55"/>
  <c r="AF38" i="55"/>
  <c r="AF35" i="55"/>
  <c r="AF30" i="55"/>
  <c r="AF31" i="55"/>
  <c r="AF32" i="55"/>
  <c r="AF33" i="55"/>
  <c r="AF34" i="55"/>
  <c r="AF36" i="55"/>
  <c r="AF37" i="55"/>
  <c r="AF39" i="55"/>
  <c r="AF40" i="55"/>
  <c r="AF41" i="55"/>
  <c r="AF42" i="55"/>
  <c r="AF26" i="55"/>
  <c r="B158" i="76" l="1"/>
  <c r="F157" i="76"/>
  <c r="C157" i="76" s="1"/>
  <c r="G66" i="80"/>
  <c r="B67" i="80"/>
  <c r="C67" i="79"/>
  <c r="F67" i="79" s="1"/>
  <c r="C67" i="78"/>
  <c r="F67" i="78" s="1"/>
  <c r="AF43" i="55"/>
  <c r="AC43" i="55"/>
  <c r="AD44" i="55" s="1"/>
  <c r="B159" i="76" l="1"/>
  <c r="F158" i="76"/>
  <c r="C158" i="76" s="1"/>
  <c r="C67" i="80"/>
  <c r="F67" i="80"/>
  <c r="G67" i="79"/>
  <c r="B68" i="79"/>
  <c r="G67" i="78"/>
  <c r="B68" i="78"/>
  <c r="O53" i="55"/>
  <c r="O52" i="55"/>
  <c r="O54" i="55" s="1"/>
  <c r="O55" i="55" s="1"/>
  <c r="B160" i="76" l="1"/>
  <c r="F159" i="76"/>
  <c r="C159" i="76" s="1"/>
  <c r="G67" i="80"/>
  <c r="B68" i="80"/>
  <c r="C68" i="79"/>
  <c r="F68" i="79" s="1"/>
  <c r="C68" i="78"/>
  <c r="F68" i="78" s="1"/>
  <c r="L36" i="55"/>
  <c r="B161" i="76" l="1"/>
  <c r="F160" i="76"/>
  <c r="C160" i="76" s="1"/>
  <c r="C68" i="80"/>
  <c r="F68" i="80" s="1"/>
  <c r="B69" i="79"/>
  <c r="G68" i="79"/>
  <c r="B69" i="78"/>
  <c r="G68" i="78"/>
  <c r="K14" i="55"/>
  <c r="I14" i="55"/>
  <c r="K13" i="55"/>
  <c r="I13" i="55"/>
  <c r="K12" i="55"/>
  <c r="I12" i="55"/>
  <c r="K11" i="55"/>
  <c r="I11" i="55"/>
  <c r="K10" i="55"/>
  <c r="I10" i="55"/>
  <c r="K9" i="55"/>
  <c r="I25" i="55"/>
  <c r="B162" i="76" l="1"/>
  <c r="F161" i="76"/>
  <c r="C161" i="76" s="1"/>
  <c r="B69" i="80"/>
  <c r="G68" i="80"/>
  <c r="C69" i="79"/>
  <c r="F69" i="79" s="1"/>
  <c r="C69" i="78"/>
  <c r="F69" i="78" s="1"/>
  <c r="M14" i="55"/>
  <c r="M9" i="55"/>
  <c r="M11" i="55"/>
  <c r="M12" i="55"/>
  <c r="M10" i="55"/>
  <c r="M13" i="55"/>
  <c r="B163" i="76" l="1"/>
  <c r="F162" i="76"/>
  <c r="C162" i="76" s="1"/>
  <c r="C69" i="80"/>
  <c r="F69" i="80"/>
  <c r="G69" i="79"/>
  <c r="B70" i="79"/>
  <c r="G69" i="78"/>
  <c r="B70" i="78"/>
  <c r="E3" i="45"/>
  <c r="S45" i="55"/>
  <c r="T45" i="55"/>
  <c r="R45" i="55"/>
  <c r="B164" i="76" l="1"/>
  <c r="F163" i="76"/>
  <c r="C163" i="76" s="1"/>
  <c r="G69" i="80"/>
  <c r="B70" i="80"/>
  <c r="C70" i="79"/>
  <c r="F70" i="79" s="1"/>
  <c r="C70" i="78"/>
  <c r="F70" i="78" s="1"/>
  <c r="N48" i="31"/>
  <c r="B165" i="76" l="1"/>
  <c r="F164" i="76"/>
  <c r="C164" i="76" s="1"/>
  <c r="C70" i="80"/>
  <c r="F70" i="80" s="1"/>
  <c r="B71" i="79"/>
  <c r="G70" i="79"/>
  <c r="B71" i="78"/>
  <c r="G70" i="78"/>
  <c r="R47" i="55"/>
  <c r="R50" i="55" s="1"/>
  <c r="B166" i="76" l="1"/>
  <c r="F165" i="76"/>
  <c r="C165" i="76" s="1"/>
  <c r="B71" i="80"/>
  <c r="G70" i="80"/>
  <c r="C71" i="79"/>
  <c r="F71" i="79" s="1"/>
  <c r="C71" i="78"/>
  <c r="F71" i="78" s="1"/>
  <c r="D277" i="32"/>
  <c r="B167" i="76" l="1"/>
  <c r="F166" i="76"/>
  <c r="C166" i="76" s="1"/>
  <c r="C71" i="80"/>
  <c r="F71" i="80"/>
  <c r="G71" i="79"/>
  <c r="B72" i="79"/>
  <c r="G71" i="78"/>
  <c r="B72" i="78"/>
  <c r="I33" i="29"/>
  <c r="G33" i="29"/>
  <c r="B168" i="76" l="1"/>
  <c r="F167" i="76"/>
  <c r="C167" i="76" s="1"/>
  <c r="G71" i="80"/>
  <c r="B72" i="80"/>
  <c r="C72" i="79"/>
  <c r="F72" i="79" s="1"/>
  <c r="C72" i="78"/>
  <c r="F72" i="78" s="1"/>
  <c r="B25" i="55"/>
  <c r="G6" i="55"/>
  <c r="B169" i="76" l="1"/>
  <c r="F168" i="76"/>
  <c r="C168" i="76" s="1"/>
  <c r="C72" i="80"/>
  <c r="F72" i="80" s="1"/>
  <c r="B73" i="79"/>
  <c r="G72" i="79"/>
  <c r="B73" i="78"/>
  <c r="G72" i="78"/>
  <c r="D273" i="32"/>
  <c r="D274" i="32"/>
  <c r="D275" i="32"/>
  <c r="K25" i="55"/>
  <c r="F169" i="76" l="1"/>
  <c r="C169" i="76" s="1"/>
  <c r="B73" i="80"/>
  <c r="G72" i="80"/>
  <c r="C73" i="79"/>
  <c r="F73" i="79" s="1"/>
  <c r="C73" i="78"/>
  <c r="F73" i="78" s="1"/>
  <c r="M25" i="55"/>
  <c r="C73" i="80" l="1"/>
  <c r="F73" i="80"/>
  <c r="G73" i="79"/>
  <c r="B74" i="79"/>
  <c r="G73" i="78"/>
  <c r="B74" i="78"/>
  <c r="M27" i="55"/>
  <c r="G73" i="80" l="1"/>
  <c r="B74" i="80"/>
  <c r="C74" i="79"/>
  <c r="F74" i="79" s="1"/>
  <c r="C74" i="78"/>
  <c r="F74" i="78" s="1"/>
  <c r="K29" i="29"/>
  <c r="K26" i="29"/>
  <c r="K27" i="29"/>
  <c r="K28" i="29"/>
  <c r="J26" i="29"/>
  <c r="J27" i="29"/>
  <c r="J28" i="29"/>
  <c r="J29" i="29"/>
  <c r="D269" i="32"/>
  <c r="D270" i="32"/>
  <c r="D271" i="32"/>
  <c r="C74" i="80" l="1"/>
  <c r="F74" i="80" s="1"/>
  <c r="B75" i="79"/>
  <c r="G74" i="79"/>
  <c r="B75" i="78"/>
  <c r="G74" i="78"/>
  <c r="F9" i="29"/>
  <c r="I9" i="29"/>
  <c r="J9" i="29" s="1"/>
  <c r="G74" i="80" l="1"/>
  <c r="B75" i="80"/>
  <c r="C75" i="79"/>
  <c r="F75" i="79" s="1"/>
  <c r="C75" i="78"/>
  <c r="F75" i="78" s="1"/>
  <c r="I10" i="29"/>
  <c r="F10" i="29"/>
  <c r="D267" i="32"/>
  <c r="D266" i="32"/>
  <c r="C75" i="80" l="1"/>
  <c r="F75" i="80"/>
  <c r="G75" i="79"/>
  <c r="B76" i="79"/>
  <c r="G75" i="78"/>
  <c r="B76" i="78"/>
  <c r="J10" i="29"/>
  <c r="G75" i="80" l="1"/>
  <c r="B76" i="80"/>
  <c r="C76" i="79"/>
  <c r="F76" i="79" s="1"/>
  <c r="C76" i="78"/>
  <c r="F76" i="78" s="1"/>
  <c r="L8" i="29"/>
  <c r="C76" i="80" l="1"/>
  <c r="F76" i="80" s="1"/>
  <c r="B77" i="79"/>
  <c r="G76" i="79"/>
  <c r="B77" i="78"/>
  <c r="G76" i="78"/>
  <c r="AX39" i="1"/>
  <c r="AX51" i="1" s="1"/>
  <c r="B77" i="80" l="1"/>
  <c r="G76" i="80"/>
  <c r="C77" i="79"/>
  <c r="F77" i="79" s="1"/>
  <c r="C77" i="78"/>
  <c r="F77" i="78" s="1"/>
  <c r="AY39" i="1"/>
  <c r="AY51" i="1" s="1"/>
  <c r="AW39" i="1"/>
  <c r="AW51" i="1" s="1"/>
  <c r="F2" i="31"/>
  <c r="C77" i="80" l="1"/>
  <c r="F77" i="80"/>
  <c r="G77" i="79"/>
  <c r="B78" i="79"/>
  <c r="G77" i="78"/>
  <c r="B78" i="78"/>
  <c r="L49" i="37"/>
  <c r="M52" i="37"/>
  <c r="M53" i="37" s="1"/>
  <c r="G77" i="80" l="1"/>
  <c r="B78" i="80"/>
  <c r="C78" i="79"/>
  <c r="F78" i="79" s="1"/>
  <c r="C78" i="78"/>
  <c r="F78" i="78" s="1"/>
  <c r="D264" i="32"/>
  <c r="C78" i="80" l="1"/>
  <c r="F78" i="80" s="1"/>
  <c r="B79" i="79"/>
  <c r="G78" i="79"/>
  <c r="B79" i="78"/>
  <c r="G78" i="78"/>
  <c r="D260" i="32"/>
  <c r="D261" i="32"/>
  <c r="D257" i="32"/>
  <c r="D258" i="32"/>
  <c r="D259" i="32"/>
  <c r="B79" i="80" l="1"/>
  <c r="G78" i="80"/>
  <c r="C79" i="79"/>
  <c r="F79" i="79" s="1"/>
  <c r="C79" i="78"/>
  <c r="F79" i="78" s="1"/>
  <c r="F8" i="29"/>
  <c r="C79" i="80" l="1"/>
  <c r="F79" i="80"/>
  <c r="G79" i="79"/>
  <c r="B80" i="79"/>
  <c r="G79" i="78"/>
  <c r="B80" i="78"/>
  <c r="J2" i="47"/>
  <c r="G79" i="80" l="1"/>
  <c r="B80" i="80"/>
  <c r="C80" i="79"/>
  <c r="F80" i="79" s="1"/>
  <c r="C80" i="78"/>
  <c r="F80" i="78" s="1"/>
  <c r="D59" i="37"/>
  <c r="D60" i="37"/>
  <c r="D61" i="37"/>
  <c r="D62" i="37"/>
  <c r="C80" i="80" l="1"/>
  <c r="F80" i="80" s="1"/>
  <c r="B81" i="79"/>
  <c r="G80" i="79"/>
  <c r="B81" i="78"/>
  <c r="G80" i="78"/>
  <c r="A16" i="47"/>
  <c r="B81" i="80" l="1"/>
  <c r="G80" i="80"/>
  <c r="C81" i="79"/>
  <c r="F81" i="79" s="1"/>
  <c r="C81" i="78"/>
  <c r="F81" i="78" s="1"/>
  <c r="A17" i="47"/>
  <c r="C81" i="80" l="1"/>
  <c r="F81" i="80"/>
  <c r="G81" i="79"/>
  <c r="B82" i="79"/>
  <c r="G81" i="78"/>
  <c r="B82" i="78"/>
  <c r="A18" i="47"/>
  <c r="G81" i="80" l="1"/>
  <c r="B82" i="80"/>
  <c r="C82" i="79"/>
  <c r="F82" i="79" s="1"/>
  <c r="C82" i="78"/>
  <c r="F82" i="78" s="1"/>
  <c r="A19" i="47"/>
  <c r="C82" i="80" l="1"/>
  <c r="F82" i="80" s="1"/>
  <c r="B83" i="79"/>
  <c r="G82" i="79"/>
  <c r="B83" i="78"/>
  <c r="G82" i="78"/>
  <c r="A20" i="47"/>
  <c r="G82" i="80" l="1"/>
  <c r="B83" i="80"/>
  <c r="C83" i="79"/>
  <c r="F83" i="79" s="1"/>
  <c r="C83" i="78"/>
  <c r="F83" i="78" s="1"/>
  <c r="A21" i="47"/>
  <c r="I8" i="29"/>
  <c r="C83" i="80" l="1"/>
  <c r="F83" i="80"/>
  <c r="G83" i="79"/>
  <c r="B84" i="79"/>
  <c r="G83" i="78"/>
  <c r="B84" i="78"/>
  <c r="J8" i="29"/>
  <c r="A22" i="47"/>
  <c r="K103" i="37"/>
  <c r="K104" i="37" s="1"/>
  <c r="G83" i="80" l="1"/>
  <c r="B84" i="80"/>
  <c r="C84" i="79"/>
  <c r="F84" i="79" s="1"/>
  <c r="C84" i="78"/>
  <c r="F84" i="78" s="1"/>
  <c r="A23" i="47"/>
  <c r="J15" i="47"/>
  <c r="J16" i="47"/>
  <c r="J17" i="47"/>
  <c r="J18" i="47"/>
  <c r="C84" i="80" l="1"/>
  <c r="F84" i="80" s="1"/>
  <c r="B85" i="79"/>
  <c r="G84" i="79"/>
  <c r="B85" i="78"/>
  <c r="G84" i="78"/>
  <c r="A24" i="47"/>
  <c r="K17" i="47"/>
  <c r="K16" i="47"/>
  <c r="K18" i="47"/>
  <c r="B85" i="80" l="1"/>
  <c r="G84" i="80"/>
  <c r="C85" i="79"/>
  <c r="F85" i="79" s="1"/>
  <c r="C85" i="78"/>
  <c r="F85" i="78" s="1"/>
  <c r="A25" i="47"/>
  <c r="C85" i="80" l="1"/>
  <c r="F85" i="80"/>
  <c r="G85" i="79"/>
  <c r="B86" i="79"/>
  <c r="G85" i="78"/>
  <c r="B86" i="78"/>
  <c r="A26" i="47"/>
  <c r="D251" i="32"/>
  <c r="G85" i="80" l="1"/>
  <c r="B86" i="80"/>
  <c r="C86" i="79"/>
  <c r="F86" i="79" s="1"/>
  <c r="C86" i="78"/>
  <c r="F86" i="78" s="1"/>
  <c r="A27" i="47"/>
  <c r="C86" i="80" l="1"/>
  <c r="F86" i="80" s="1"/>
  <c r="B87" i="79"/>
  <c r="G86" i="79"/>
  <c r="B87" i="78"/>
  <c r="G86" i="78"/>
  <c r="A28" i="47"/>
  <c r="B87" i="80" l="1"/>
  <c r="G86" i="80"/>
  <c r="C87" i="79"/>
  <c r="F87" i="79" s="1"/>
  <c r="C87" i="78"/>
  <c r="F87" i="78" s="1"/>
  <c r="A29" i="47"/>
  <c r="C87" i="80" l="1"/>
  <c r="F87" i="80"/>
  <c r="G87" i="79"/>
  <c r="B88" i="79"/>
  <c r="G87" i="78"/>
  <c r="B88" i="78"/>
  <c r="A30" i="47"/>
  <c r="D247" i="32"/>
  <c r="G87" i="80" l="1"/>
  <c r="B88" i="80"/>
  <c r="C88" i="79"/>
  <c r="F88" i="79" s="1"/>
  <c r="C88" i="78"/>
  <c r="F88" i="78" s="1"/>
  <c r="A31" i="47"/>
  <c r="K3" i="52"/>
  <c r="K4" i="52" s="1"/>
  <c r="C88" i="80" l="1"/>
  <c r="F88" i="80" s="1"/>
  <c r="B89" i="79"/>
  <c r="G88" i="79"/>
  <c r="B89" i="78"/>
  <c r="G88" i="78"/>
  <c r="A32" i="47"/>
  <c r="B89" i="80" l="1"/>
  <c r="G88" i="80"/>
  <c r="C89" i="79"/>
  <c r="F89" i="79" s="1"/>
  <c r="C89" i="78"/>
  <c r="F89" i="78" s="1"/>
  <c r="A33" i="47"/>
  <c r="C89" i="80" l="1"/>
  <c r="F89" i="80" s="1"/>
  <c r="G89" i="79"/>
  <c r="B90" i="79"/>
  <c r="G89" i="78"/>
  <c r="B90" i="78"/>
  <c r="A34" i="47"/>
  <c r="G89" i="80" l="1"/>
  <c r="B90" i="80"/>
  <c r="C90" i="79"/>
  <c r="F90" i="79" s="1"/>
  <c r="C90" i="78"/>
  <c r="F90" i="78" s="1"/>
  <c r="A35" i="47"/>
  <c r="C90" i="80" l="1"/>
  <c r="F90" i="80" s="1"/>
  <c r="B91" i="79"/>
  <c r="G90" i="79"/>
  <c r="B91" i="78"/>
  <c r="G90" i="78"/>
  <c r="A36" i="47"/>
  <c r="G90" i="80" l="1"/>
  <c r="B91" i="80"/>
  <c r="C91" i="79"/>
  <c r="F91" i="79" s="1"/>
  <c r="C91" i="78"/>
  <c r="F91" i="78" s="1"/>
  <c r="A37" i="47"/>
  <c r="C91" i="80" l="1"/>
  <c r="F91" i="80"/>
  <c r="G91" i="79"/>
  <c r="B92" i="79"/>
  <c r="G91" i="78"/>
  <c r="B92" i="78"/>
  <c r="A38" i="47"/>
  <c r="G91" i="80" l="1"/>
  <c r="B92" i="80"/>
  <c r="C92" i="79"/>
  <c r="F92" i="79" s="1"/>
  <c r="C92" i="78"/>
  <c r="F92" i="78" s="1"/>
  <c r="A39" i="47"/>
  <c r="D239" i="32"/>
  <c r="D237" i="32"/>
  <c r="D235" i="32"/>
  <c r="D233" i="32"/>
  <c r="C92" i="80" l="1"/>
  <c r="F92" i="80" s="1"/>
  <c r="B93" i="79"/>
  <c r="G92" i="79"/>
  <c r="B93" i="78"/>
  <c r="G92" i="78"/>
  <c r="A40" i="47"/>
  <c r="D230" i="32"/>
  <c r="D229" i="32"/>
  <c r="D227" i="32"/>
  <c r="D226" i="32"/>
  <c r="D224" i="32"/>
  <c r="G92" i="80" l="1"/>
  <c r="B93" i="80"/>
  <c r="C93" i="79"/>
  <c r="F93" i="79" s="1"/>
  <c r="C93" i="78"/>
  <c r="F93" i="78" s="1"/>
  <c r="A41" i="47"/>
  <c r="Q83" i="37"/>
  <c r="C93" i="80" l="1"/>
  <c r="F93" i="80"/>
  <c r="G93" i="79"/>
  <c r="B94" i="79"/>
  <c r="G93" i="78"/>
  <c r="B94" i="78"/>
  <c r="A42" i="47"/>
  <c r="AC39" i="1"/>
  <c r="G93" i="80" l="1"/>
  <c r="B94" i="80"/>
  <c r="C94" i="79"/>
  <c r="F94" i="79" s="1"/>
  <c r="C94" i="78"/>
  <c r="F94" i="78" s="1"/>
  <c r="A43" i="47"/>
  <c r="C94" i="80" l="1"/>
  <c r="F94" i="80" s="1"/>
  <c r="B95" i="79"/>
  <c r="G94" i="79"/>
  <c r="B95" i="78"/>
  <c r="G94" i="78"/>
  <c r="A44" i="47"/>
  <c r="D223" i="32"/>
  <c r="B95" i="80" l="1"/>
  <c r="G94" i="80"/>
  <c r="C95" i="79"/>
  <c r="F95" i="79" s="1"/>
  <c r="C95" i="78"/>
  <c r="F95" i="78" s="1"/>
  <c r="A45" i="47"/>
  <c r="C95" i="80" l="1"/>
  <c r="F95" i="80"/>
  <c r="G95" i="79"/>
  <c r="B96" i="79"/>
  <c r="G95" i="78"/>
  <c r="B96" i="78"/>
  <c r="A46" i="47"/>
  <c r="K80" i="29"/>
  <c r="M80" i="29" s="1"/>
  <c r="K81" i="29"/>
  <c r="K82" i="29"/>
  <c r="K83" i="29"/>
  <c r="K84" i="29"/>
  <c r="K85" i="29"/>
  <c r="G95" i="80" l="1"/>
  <c r="B96" i="80"/>
  <c r="C96" i="79"/>
  <c r="F96" i="79" s="1"/>
  <c r="C96" i="78"/>
  <c r="F96" i="78" s="1"/>
  <c r="A47" i="47"/>
  <c r="L82" i="29"/>
  <c r="L84" i="29"/>
  <c r="L85" i="29"/>
  <c r="L83" i="29"/>
  <c r="L81" i="29"/>
  <c r="C96" i="80" l="1"/>
  <c r="F96" i="80" s="1"/>
  <c r="B97" i="79"/>
  <c r="G96" i="79"/>
  <c r="B97" i="78"/>
  <c r="G96" i="78"/>
  <c r="A48" i="47"/>
  <c r="B97" i="80" l="1"/>
  <c r="G96" i="80"/>
  <c r="C97" i="79"/>
  <c r="F97" i="79" s="1"/>
  <c r="C97" i="78"/>
  <c r="F97" i="78" s="1"/>
  <c r="A49" i="47"/>
  <c r="AF106" i="1"/>
  <c r="AF108" i="1" s="1"/>
  <c r="C97" i="80" l="1"/>
  <c r="F97" i="80" s="1"/>
  <c r="G97" i="79"/>
  <c r="B98" i="79"/>
  <c r="G97" i="78"/>
  <c r="B98" i="78"/>
  <c r="A50" i="47"/>
  <c r="G19" i="22"/>
  <c r="G14" i="22"/>
  <c r="AC52" i="1"/>
  <c r="G97" i="80" l="1"/>
  <c r="B98" i="80"/>
  <c r="C98" i="79"/>
  <c r="F98" i="79" s="1"/>
  <c r="C98" i="78"/>
  <c r="F98" i="78" s="1"/>
  <c r="A51" i="47"/>
  <c r="G22" i="22"/>
  <c r="G23" i="22" s="1"/>
  <c r="C98" i="80" l="1"/>
  <c r="F98" i="80" s="1"/>
  <c r="B99" i="79"/>
  <c r="G98" i="79"/>
  <c r="B99" i="78"/>
  <c r="G98" i="78"/>
  <c r="F26" i="22"/>
  <c r="F27" i="22" s="1"/>
  <c r="G26" i="22"/>
  <c r="A52" i="47"/>
  <c r="G98" i="80" l="1"/>
  <c r="B99" i="80"/>
  <c r="C99" i="79"/>
  <c r="F99" i="79" s="1"/>
  <c r="C99" i="78"/>
  <c r="F99" i="78" s="1"/>
  <c r="A53" i="47"/>
  <c r="C99" i="80" l="1"/>
  <c r="F99" i="80"/>
  <c r="G99" i="79"/>
  <c r="B100" i="79"/>
  <c r="G99" i="78"/>
  <c r="B100" i="78"/>
  <c r="A54" i="47"/>
  <c r="G99" i="80" l="1"/>
  <c r="B100" i="80"/>
  <c r="C100" i="79"/>
  <c r="F100" i="79" s="1"/>
  <c r="C100" i="78"/>
  <c r="F100" i="78" s="1"/>
  <c r="A55" i="47"/>
  <c r="D216" i="32"/>
  <c r="C100" i="80" l="1"/>
  <c r="F100" i="80" s="1"/>
  <c r="B101" i="79"/>
  <c r="G100" i="79"/>
  <c r="B101" i="78"/>
  <c r="G100" i="78"/>
  <c r="A56" i="47"/>
  <c r="D215" i="32"/>
  <c r="D214" i="32"/>
  <c r="B101" i="80" l="1"/>
  <c r="G100" i="80"/>
  <c r="C101" i="79"/>
  <c r="F101" i="79" s="1"/>
  <c r="C101" i="78"/>
  <c r="F101" i="78" s="1"/>
  <c r="A57" i="47"/>
  <c r="L92" i="37"/>
  <c r="L93" i="37" s="1"/>
  <c r="C101" i="80" l="1"/>
  <c r="F101" i="80" s="1"/>
  <c r="G101" i="79"/>
  <c r="B102" i="79"/>
  <c r="G101" i="78"/>
  <c r="B102" i="78"/>
  <c r="A58" i="47"/>
  <c r="J9" i="47"/>
  <c r="J10" i="47"/>
  <c r="J11" i="47"/>
  <c r="J12" i="47"/>
  <c r="J13" i="47"/>
  <c r="J14" i="47"/>
  <c r="G101" i="80" l="1"/>
  <c r="B102" i="80"/>
  <c r="C102" i="79"/>
  <c r="F102" i="79" s="1"/>
  <c r="C102" i="78"/>
  <c r="F102" i="78" s="1"/>
  <c r="A59" i="47"/>
  <c r="K12" i="47"/>
  <c r="K11" i="47"/>
  <c r="K13" i="47"/>
  <c r="K10" i="47"/>
  <c r="K14" i="47"/>
  <c r="K15" i="47"/>
  <c r="C102" i="80" l="1"/>
  <c r="F102" i="80" s="1"/>
  <c r="B103" i="79"/>
  <c r="G102" i="79"/>
  <c r="B103" i="78"/>
  <c r="G102" i="78"/>
  <c r="A60" i="47"/>
  <c r="D198" i="32"/>
  <c r="D200" i="32"/>
  <c r="D213" i="32"/>
  <c r="D209" i="32"/>
  <c r="G102" i="80" l="1"/>
  <c r="B103" i="80"/>
  <c r="C103" i="79"/>
  <c r="F103" i="79" s="1"/>
  <c r="C103" i="78"/>
  <c r="F103" i="78" s="1"/>
  <c r="A61" i="47"/>
  <c r="L128" i="29"/>
  <c r="C103" i="80" l="1"/>
  <c r="F103" i="80" s="1"/>
  <c r="G103" i="79"/>
  <c r="B104" i="79"/>
  <c r="G103" i="78"/>
  <c r="B104" i="78"/>
  <c r="A62" i="47"/>
  <c r="D210" i="32"/>
  <c r="D211" i="32"/>
  <c r="G103" i="80" l="1"/>
  <c r="B104" i="80"/>
  <c r="C104" i="79"/>
  <c r="F104" i="79" s="1"/>
  <c r="C104" i="78"/>
  <c r="F104" i="78" s="1"/>
  <c r="A63" i="47"/>
  <c r="C104" i="80" l="1"/>
  <c r="F104" i="80" s="1"/>
  <c r="B105" i="79"/>
  <c r="G104" i="79"/>
  <c r="B105" i="78"/>
  <c r="G104" i="78"/>
  <c r="A64" i="47"/>
  <c r="E1" i="32"/>
  <c r="F1" i="32"/>
  <c r="G1" i="32"/>
  <c r="B105" i="80" l="1"/>
  <c r="G104" i="80"/>
  <c r="C105" i="79"/>
  <c r="F105" i="79" s="1"/>
  <c r="C105" i="78"/>
  <c r="F105" i="78" s="1"/>
  <c r="A65" i="47"/>
  <c r="AP39" i="1"/>
  <c r="AP51" i="1" s="1"/>
  <c r="AV39" i="1"/>
  <c r="AV51" i="1" s="1"/>
  <c r="AU39" i="1"/>
  <c r="AU51" i="1" s="1"/>
  <c r="AT39" i="1"/>
  <c r="AT51" i="1" s="1"/>
  <c r="AS39" i="1"/>
  <c r="AS51" i="1" s="1"/>
  <c r="AR39" i="1"/>
  <c r="AR51" i="1" s="1"/>
  <c r="AQ39" i="1"/>
  <c r="AQ51" i="1" s="1"/>
  <c r="C105" i="80" l="1"/>
  <c r="F105" i="80"/>
  <c r="G105" i="79"/>
  <c r="B106" i="79"/>
  <c r="G105" i="78"/>
  <c r="B106" i="78"/>
  <c r="A66" i="47"/>
  <c r="D208" i="32"/>
  <c r="G105" i="80" l="1"/>
  <c r="B106" i="80"/>
  <c r="C106" i="79"/>
  <c r="F106" i="79" s="1"/>
  <c r="C106" i="78"/>
  <c r="F106" i="78" s="1"/>
  <c r="A67" i="47"/>
  <c r="C106" i="80" l="1"/>
  <c r="F106" i="80" s="1"/>
  <c r="B107" i="79"/>
  <c r="G106" i="79"/>
  <c r="B107" i="78"/>
  <c r="G106" i="78"/>
  <c r="A68" i="47"/>
  <c r="D199" i="32"/>
  <c r="G106" i="80" l="1"/>
  <c r="B107" i="80"/>
  <c r="C107" i="79"/>
  <c r="F107" i="79" s="1"/>
  <c r="C107" i="78"/>
  <c r="F107" i="78" s="1"/>
  <c r="A69" i="47"/>
  <c r="C107" i="80" l="1"/>
  <c r="F107" i="80"/>
  <c r="G107" i="79"/>
  <c r="B108" i="79"/>
  <c r="G107" i="78"/>
  <c r="B108" i="78"/>
  <c r="A70" i="47"/>
  <c r="DO82" i="1"/>
  <c r="DP82" i="1" s="1"/>
  <c r="DQ80" i="1"/>
  <c r="DR80" i="1" s="1"/>
  <c r="DS80" i="1" s="1"/>
  <c r="D197" i="32"/>
  <c r="G107" i="80" l="1"/>
  <c r="B108" i="80"/>
  <c r="C108" i="79"/>
  <c r="F108" i="79" s="1"/>
  <c r="C108" i="78"/>
  <c r="F108" i="78" s="1"/>
  <c r="A71" i="47"/>
  <c r="G2" i="50"/>
  <c r="F2" i="50"/>
  <c r="D58" i="37"/>
  <c r="M36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E76" i="49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D76" i="49"/>
  <c r="F75" i="49"/>
  <c r="P71" i="49"/>
  <c r="F71" i="49"/>
  <c r="G71" i="49" s="1"/>
  <c r="Q70" i="49"/>
  <c r="G70" i="49"/>
  <c r="F70" i="49"/>
  <c r="L16" i="49" s="1"/>
  <c r="V62" i="49"/>
  <c r="G62" i="49"/>
  <c r="D62" i="49" s="1"/>
  <c r="V61" i="49"/>
  <c r="S61" i="49" s="1"/>
  <c r="G61" i="49"/>
  <c r="D61" i="49" s="1"/>
  <c r="V60" i="49"/>
  <c r="S60" i="49" s="1"/>
  <c r="G60" i="49"/>
  <c r="D60" i="49"/>
  <c r="V59" i="49"/>
  <c r="S59" i="49" s="1"/>
  <c r="G59" i="49"/>
  <c r="D59" i="49" s="1"/>
  <c r="V58" i="49"/>
  <c r="S58" i="49" s="1"/>
  <c r="G58" i="49"/>
  <c r="D58" i="49" s="1"/>
  <c r="V57" i="49"/>
  <c r="S57" i="49" s="1"/>
  <c r="G57" i="49"/>
  <c r="D57" i="49" s="1"/>
  <c r="V56" i="49"/>
  <c r="S56" i="49" s="1"/>
  <c r="G56" i="49"/>
  <c r="D56" i="49" s="1"/>
  <c r="V55" i="49"/>
  <c r="S55" i="49" s="1"/>
  <c r="G55" i="49"/>
  <c r="D55" i="49" s="1"/>
  <c r="V54" i="49"/>
  <c r="S54" i="49" s="1"/>
  <c r="G54" i="49"/>
  <c r="D54" i="49" s="1"/>
  <c r="V53" i="49"/>
  <c r="S53" i="49" s="1"/>
  <c r="G53" i="49"/>
  <c r="D53" i="49" s="1"/>
  <c r="V52" i="49"/>
  <c r="S52" i="49" s="1"/>
  <c r="G52" i="49"/>
  <c r="D52" i="49" s="1"/>
  <c r="V51" i="49"/>
  <c r="S51" i="49" s="1"/>
  <c r="G51" i="49"/>
  <c r="D51" i="49" s="1"/>
  <c r="V50" i="49"/>
  <c r="S50" i="49" s="1"/>
  <c r="G50" i="49"/>
  <c r="D50" i="49" s="1"/>
  <c r="V49" i="49"/>
  <c r="S49" i="49" s="1"/>
  <c r="G49" i="49"/>
  <c r="D49" i="49" s="1"/>
  <c r="V48" i="49"/>
  <c r="S48" i="49" s="1"/>
  <c r="G48" i="49"/>
  <c r="D48" i="49" s="1"/>
  <c r="V47" i="49"/>
  <c r="S47" i="49" s="1"/>
  <c r="G47" i="49"/>
  <c r="D47" i="49" s="1"/>
  <c r="V46" i="49"/>
  <c r="S46" i="49" s="1"/>
  <c r="G46" i="49"/>
  <c r="D46" i="49" s="1"/>
  <c r="V45" i="49"/>
  <c r="S45" i="49" s="1"/>
  <c r="K45" i="49"/>
  <c r="G45" i="49"/>
  <c r="D45" i="49" s="1"/>
  <c r="V44" i="49"/>
  <c r="S44" i="49" s="1"/>
  <c r="G44" i="49"/>
  <c r="D44" i="49" s="1"/>
  <c r="V43" i="49"/>
  <c r="S43" i="49" s="1"/>
  <c r="G43" i="49"/>
  <c r="D43" i="49" s="1"/>
  <c r="V42" i="49"/>
  <c r="S42" i="49" s="1"/>
  <c r="G42" i="49"/>
  <c r="D42" i="49" s="1"/>
  <c r="V41" i="49"/>
  <c r="S41" i="49" s="1"/>
  <c r="G41" i="49"/>
  <c r="D41" i="49" s="1"/>
  <c r="V40" i="49"/>
  <c r="S40" i="49" s="1"/>
  <c r="G40" i="49"/>
  <c r="D40" i="49" s="1"/>
  <c r="V39" i="49"/>
  <c r="S39" i="49" s="1"/>
  <c r="G39" i="49"/>
  <c r="D39" i="49" s="1"/>
  <c r="V38" i="49"/>
  <c r="S38" i="49" s="1"/>
  <c r="G38" i="49"/>
  <c r="D38" i="49" s="1"/>
  <c r="V37" i="49"/>
  <c r="S37" i="49" s="1"/>
  <c r="G37" i="49"/>
  <c r="D37" i="49" s="1"/>
  <c r="V36" i="49"/>
  <c r="S36" i="49" s="1"/>
  <c r="G36" i="49"/>
  <c r="D36" i="49" s="1"/>
  <c r="V35" i="49"/>
  <c r="S35" i="49" s="1"/>
  <c r="G35" i="49"/>
  <c r="D35" i="49" s="1"/>
  <c r="V34" i="49"/>
  <c r="S34" i="49" s="1"/>
  <c r="G34" i="49"/>
  <c r="D34" i="49" s="1"/>
  <c r="V33" i="49"/>
  <c r="S33" i="49" s="1"/>
  <c r="G33" i="49"/>
  <c r="D33" i="49" s="1"/>
  <c r="V32" i="49"/>
  <c r="S32" i="49" s="1"/>
  <c r="G32" i="49"/>
  <c r="D32" i="49" s="1"/>
  <c r="V31" i="49"/>
  <c r="S31" i="49" s="1"/>
  <c r="G31" i="49"/>
  <c r="D31" i="49" s="1"/>
  <c r="V30" i="49"/>
  <c r="S30" i="49" s="1"/>
  <c r="G30" i="49"/>
  <c r="D30" i="49" s="1"/>
  <c r="V29" i="49"/>
  <c r="S29" i="49" s="1"/>
  <c r="G29" i="49"/>
  <c r="D29" i="49" s="1"/>
  <c r="V28" i="49"/>
  <c r="S28" i="49" s="1"/>
  <c r="G28" i="49"/>
  <c r="D28" i="49" s="1"/>
  <c r="V27" i="49"/>
  <c r="S27" i="49" s="1"/>
  <c r="G27" i="49"/>
  <c r="D27" i="49" s="1"/>
  <c r="V26" i="49"/>
  <c r="S26" i="49" s="1"/>
  <c r="G26" i="49"/>
  <c r="D26" i="49" s="1"/>
  <c r="V25" i="49"/>
  <c r="S25" i="49" s="1"/>
  <c r="L25" i="49"/>
  <c r="L26" i="49" s="1"/>
  <c r="L29" i="49" s="1"/>
  <c r="G25" i="49"/>
  <c r="D25" i="49" s="1"/>
  <c r="V24" i="49"/>
  <c r="S24" i="49" s="1"/>
  <c r="G24" i="49"/>
  <c r="D24" i="49" s="1"/>
  <c r="V23" i="49"/>
  <c r="S23" i="49" s="1"/>
  <c r="G23" i="49"/>
  <c r="D23" i="49" s="1"/>
  <c r="V22" i="49"/>
  <c r="S22" i="49" s="1"/>
  <c r="G22" i="49"/>
  <c r="D22" i="49"/>
  <c r="V21" i="49"/>
  <c r="S21" i="49" s="1"/>
  <c r="G21" i="49"/>
  <c r="D21" i="49" s="1"/>
  <c r="V20" i="49"/>
  <c r="S20" i="49" s="1"/>
  <c r="G20" i="49"/>
  <c r="D20" i="49" s="1"/>
  <c r="V19" i="49"/>
  <c r="S19" i="49"/>
  <c r="G19" i="49"/>
  <c r="D19" i="49" s="1"/>
  <c r="V18" i="49"/>
  <c r="S18" i="49" s="1"/>
  <c r="G18" i="49"/>
  <c r="D18" i="49" s="1"/>
  <c r="V17" i="49"/>
  <c r="S17" i="49" s="1"/>
  <c r="L17" i="49"/>
  <c r="G17" i="49"/>
  <c r="D17" i="49" s="1"/>
  <c r="Y16" i="49"/>
  <c r="Y17" i="49" s="1"/>
  <c r="Y20" i="49" s="1"/>
  <c r="V16" i="49"/>
  <c r="S16" i="49" s="1"/>
  <c r="G16" i="49"/>
  <c r="D16" i="49" s="1"/>
  <c r="E16" i="49"/>
  <c r="H16" i="49" s="1"/>
  <c r="V15" i="49"/>
  <c r="S15" i="49" s="1"/>
  <c r="H15" i="49"/>
  <c r="G15" i="49"/>
  <c r="D15" i="49" s="1"/>
  <c r="V14" i="49"/>
  <c r="S14" i="49" s="1"/>
  <c r="H14" i="49"/>
  <c r="V13" i="49"/>
  <c r="S13" i="49" s="1"/>
  <c r="G13" i="49"/>
  <c r="D13" i="49" s="1"/>
  <c r="V12" i="49"/>
  <c r="S12" i="49" s="1"/>
  <c r="G12" i="49"/>
  <c r="D12" i="49" s="1"/>
  <c r="V11" i="49"/>
  <c r="S11" i="49" s="1"/>
  <c r="N11" i="49"/>
  <c r="N12" i="49" s="1"/>
  <c r="G11" i="49"/>
  <c r="D11" i="49" s="1"/>
  <c r="V10" i="49"/>
  <c r="S10" i="49" s="1"/>
  <c r="G10" i="49"/>
  <c r="D10" i="49" s="1"/>
  <c r="V9" i="49"/>
  <c r="S9" i="49" s="1"/>
  <c r="G9" i="49"/>
  <c r="D9" i="49" s="1"/>
  <c r="V8" i="49"/>
  <c r="S8" i="49" s="1"/>
  <c r="G8" i="49"/>
  <c r="D8" i="49" s="1"/>
  <c r="V7" i="49"/>
  <c r="S7" i="49" s="1"/>
  <c r="G7" i="49"/>
  <c r="D7" i="49" s="1"/>
  <c r="V6" i="49"/>
  <c r="S6" i="49" s="1"/>
  <c r="G6" i="49"/>
  <c r="D6" i="49" s="1"/>
  <c r="V5" i="49"/>
  <c r="G5" i="49"/>
  <c r="D5" i="49" s="1"/>
  <c r="V4" i="49"/>
  <c r="T4" i="49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T18" i="49" s="1"/>
  <c r="T19" i="49" s="1"/>
  <c r="T20" i="49" s="1"/>
  <c r="T21" i="49" s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T36" i="49" s="1"/>
  <c r="T37" i="49" s="1"/>
  <c r="T38" i="49" s="1"/>
  <c r="T39" i="49" s="1"/>
  <c r="T40" i="49" s="1"/>
  <c r="T41" i="49" s="1"/>
  <c r="T42" i="49" s="1"/>
  <c r="T43" i="49" s="1"/>
  <c r="T44" i="49" s="1"/>
  <c r="T45" i="49" s="1"/>
  <c r="T46" i="49" s="1"/>
  <c r="T47" i="49" s="1"/>
  <c r="T48" i="49" s="1"/>
  <c r="T49" i="49" s="1"/>
  <c r="T50" i="49" s="1"/>
  <c r="T51" i="49" s="1"/>
  <c r="T52" i="49" s="1"/>
  <c r="T53" i="49" s="1"/>
  <c r="T54" i="49" s="1"/>
  <c r="T55" i="49" s="1"/>
  <c r="T56" i="49" s="1"/>
  <c r="T57" i="49" s="1"/>
  <c r="T58" i="49" s="1"/>
  <c r="T59" i="49" s="1"/>
  <c r="T60" i="49" s="1"/>
  <c r="T61" i="49" s="1"/>
  <c r="T62" i="49" s="1"/>
  <c r="L4" i="49"/>
  <c r="G4" i="49"/>
  <c r="D4" i="49" s="1"/>
  <c r="E4" i="49"/>
  <c r="E5" i="49" s="1"/>
  <c r="E6" i="49" s="1"/>
  <c r="E7" i="49" s="1"/>
  <c r="E8" i="49" s="1"/>
  <c r="E9" i="49" s="1"/>
  <c r="E10" i="49" s="1"/>
  <c r="E11" i="49" s="1"/>
  <c r="E12" i="49" s="1"/>
  <c r="E13" i="49" s="1"/>
  <c r="Y3" i="49"/>
  <c r="V3" i="49"/>
  <c r="L3" i="49"/>
  <c r="G3" i="49"/>
  <c r="D3" i="49" s="1"/>
  <c r="C108" i="80" l="1"/>
  <c r="F108" i="80" s="1"/>
  <c r="B109" i="79"/>
  <c r="G108" i="79"/>
  <c r="B109" i="78"/>
  <c r="G108" i="78"/>
  <c r="A72" i="47"/>
  <c r="A74" i="47"/>
  <c r="L6" i="49"/>
  <c r="L7" i="49" s="1"/>
  <c r="F92" i="49"/>
  <c r="G92" i="49"/>
  <c r="H92" i="49" s="1"/>
  <c r="F108" i="49"/>
  <c r="G108" i="49" s="1"/>
  <c r="H108" i="49" s="1"/>
  <c r="Y2" i="49"/>
  <c r="L19" i="49"/>
  <c r="L20" i="49" s="1"/>
  <c r="E17" i="49"/>
  <c r="E18" i="49" s="1"/>
  <c r="E19" i="49" s="1"/>
  <c r="F77" i="49"/>
  <c r="G77" i="49" s="1"/>
  <c r="H77" i="49" s="1"/>
  <c r="F81" i="49"/>
  <c r="G81" i="49" s="1"/>
  <c r="H81" i="49" s="1"/>
  <c r="F85" i="49"/>
  <c r="G85" i="49" s="1"/>
  <c r="H85" i="49" s="1"/>
  <c r="F89" i="49"/>
  <c r="G89" i="49" s="1"/>
  <c r="H89" i="49" s="1"/>
  <c r="F93" i="49"/>
  <c r="G93" i="49" s="1"/>
  <c r="H93" i="49" s="1"/>
  <c r="F97" i="49"/>
  <c r="G97" i="49" s="1"/>
  <c r="H97" i="49" s="1"/>
  <c r="F101" i="49"/>
  <c r="G101" i="49" s="1"/>
  <c r="H101" i="49" s="1"/>
  <c r="F105" i="49"/>
  <c r="G105" i="49" s="1"/>
  <c r="H105" i="49" s="1"/>
  <c r="F109" i="49"/>
  <c r="G109" i="49" s="1"/>
  <c r="H109" i="49" s="1"/>
  <c r="F80" i="49"/>
  <c r="G80" i="49" s="1"/>
  <c r="H80" i="49" s="1"/>
  <c r="F88" i="49"/>
  <c r="G88" i="49" s="1"/>
  <c r="H88" i="49" s="1"/>
  <c r="F96" i="49"/>
  <c r="G96" i="49" s="1"/>
  <c r="H96" i="49" s="1"/>
  <c r="F104" i="49"/>
  <c r="G104" i="49" s="1"/>
  <c r="H104" i="49" s="1"/>
  <c r="Y5" i="49"/>
  <c r="F78" i="49"/>
  <c r="G78" i="49" s="1"/>
  <c r="H78" i="49" s="1"/>
  <c r="F82" i="49"/>
  <c r="G82" i="49" s="1"/>
  <c r="H82" i="49" s="1"/>
  <c r="F86" i="49"/>
  <c r="G86" i="49" s="1"/>
  <c r="H86" i="49" s="1"/>
  <c r="F90" i="49"/>
  <c r="G90" i="49" s="1"/>
  <c r="H90" i="49" s="1"/>
  <c r="F94" i="49"/>
  <c r="G94" i="49" s="1"/>
  <c r="H94" i="49" s="1"/>
  <c r="F98" i="49"/>
  <c r="G98" i="49" s="1"/>
  <c r="H98" i="49" s="1"/>
  <c r="F102" i="49"/>
  <c r="G102" i="49" s="1"/>
  <c r="H102" i="49" s="1"/>
  <c r="F106" i="49"/>
  <c r="G106" i="49" s="1"/>
  <c r="H106" i="49" s="1"/>
  <c r="F110" i="49"/>
  <c r="G110" i="49" s="1"/>
  <c r="H110" i="49" s="1"/>
  <c r="F84" i="49"/>
  <c r="G84" i="49" s="1"/>
  <c r="H84" i="49" s="1"/>
  <c r="F100" i="49"/>
  <c r="G100" i="49" s="1"/>
  <c r="H100" i="49" s="1"/>
  <c r="L2" i="49"/>
  <c r="L5" i="49" s="1"/>
  <c r="F76" i="49"/>
  <c r="G76" i="49" s="1"/>
  <c r="H76" i="49" s="1"/>
  <c r="F79" i="49"/>
  <c r="G79" i="49" s="1"/>
  <c r="H79" i="49" s="1"/>
  <c r="F83" i="49"/>
  <c r="G83" i="49" s="1"/>
  <c r="H83" i="49" s="1"/>
  <c r="F87" i="49"/>
  <c r="G87" i="49" s="1"/>
  <c r="H87" i="49" s="1"/>
  <c r="F91" i="49"/>
  <c r="G91" i="49" s="1"/>
  <c r="H91" i="49" s="1"/>
  <c r="F95" i="49"/>
  <c r="G95" i="49" s="1"/>
  <c r="H95" i="49" s="1"/>
  <c r="F99" i="49"/>
  <c r="G99" i="49" s="1"/>
  <c r="H99" i="49" s="1"/>
  <c r="F103" i="49"/>
  <c r="G103" i="49" s="1"/>
  <c r="H103" i="49" s="1"/>
  <c r="F107" i="49"/>
  <c r="G107" i="49" s="1"/>
  <c r="H107" i="49" s="1"/>
  <c r="F111" i="49"/>
  <c r="G111" i="49" s="1"/>
  <c r="H111" i="49" s="1"/>
  <c r="Y6" i="49"/>
  <c r="Y7" i="49" s="1"/>
  <c r="F3" i="50"/>
  <c r="L10" i="49"/>
  <c r="L11" i="49" s="1"/>
  <c r="L15" i="49"/>
  <c r="L18" i="49" s="1"/>
  <c r="D192" i="32"/>
  <c r="B109" i="80" l="1"/>
  <c r="G108" i="80"/>
  <c r="C109" i="79"/>
  <c r="F109" i="79" s="1"/>
  <c r="C109" i="78"/>
  <c r="F109" i="78" s="1"/>
  <c r="H17" i="49"/>
  <c r="A75" i="47"/>
  <c r="H18" i="49"/>
  <c r="Y8" i="49"/>
  <c r="A73" i="47"/>
  <c r="E20" i="49"/>
  <c r="H19" i="49"/>
  <c r="D185" i="32"/>
  <c r="L29" i="45"/>
  <c r="L30" i="45" s="1"/>
  <c r="M14" i="45"/>
  <c r="N14" i="45" s="1"/>
  <c r="O14" i="45" s="1"/>
  <c r="P17" i="45" s="1"/>
  <c r="L17" i="45"/>
  <c r="B86" i="45"/>
  <c r="B5" i="45"/>
  <c r="B6" i="45"/>
  <c r="B7" i="45"/>
  <c r="B8" i="45"/>
  <c r="B9" i="45"/>
  <c r="B10" i="45"/>
  <c r="B11" i="45"/>
  <c r="B12" i="45"/>
  <c r="B13" i="45"/>
  <c r="B14" i="45"/>
  <c r="B15" i="45"/>
  <c r="B16" i="45"/>
  <c r="B17" i="45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B34" i="45"/>
  <c r="B35" i="45"/>
  <c r="B36" i="45"/>
  <c r="B37" i="45"/>
  <c r="B38" i="45"/>
  <c r="B39" i="45"/>
  <c r="B40" i="45"/>
  <c r="B41" i="45"/>
  <c r="B42" i="45"/>
  <c r="B43" i="45"/>
  <c r="B44" i="45"/>
  <c r="B45" i="45"/>
  <c r="B46" i="45"/>
  <c r="B47" i="45"/>
  <c r="B48" i="45"/>
  <c r="B49" i="45"/>
  <c r="B50" i="45"/>
  <c r="B51" i="45"/>
  <c r="B52" i="45"/>
  <c r="B53" i="45"/>
  <c r="B54" i="45"/>
  <c r="B55" i="45"/>
  <c r="B56" i="45"/>
  <c r="B57" i="45"/>
  <c r="B58" i="45"/>
  <c r="B59" i="45"/>
  <c r="B60" i="45"/>
  <c r="B61" i="45"/>
  <c r="B62" i="45"/>
  <c r="B63" i="45"/>
  <c r="B64" i="45"/>
  <c r="B65" i="45"/>
  <c r="B66" i="45"/>
  <c r="B67" i="45"/>
  <c r="B68" i="45"/>
  <c r="B69" i="45"/>
  <c r="B70" i="45"/>
  <c r="B71" i="45"/>
  <c r="B72" i="45"/>
  <c r="B73" i="45"/>
  <c r="B74" i="45"/>
  <c r="B75" i="45"/>
  <c r="B76" i="45"/>
  <c r="B77" i="45"/>
  <c r="B78" i="45"/>
  <c r="B79" i="45"/>
  <c r="B80" i="45"/>
  <c r="B81" i="45"/>
  <c r="B82" i="45"/>
  <c r="B83" i="45"/>
  <c r="B84" i="45"/>
  <c r="B85" i="45"/>
  <c r="B4" i="45"/>
  <c r="B3" i="45"/>
  <c r="E4" i="45" s="1"/>
  <c r="C109" i="80" l="1"/>
  <c r="F109" i="80"/>
  <c r="G109" i="79"/>
  <c r="B110" i="79"/>
  <c r="G109" i="78"/>
  <c r="B110" i="78"/>
  <c r="E5" i="45"/>
  <c r="E6" i="45" s="1"/>
  <c r="H20" i="49"/>
  <c r="E21" i="49"/>
  <c r="E9" i="45"/>
  <c r="E10" i="45" s="1"/>
  <c r="E11" i="45" s="1"/>
  <c r="E12" i="45" s="1"/>
  <c r="E13" i="45" s="1"/>
  <c r="E14" i="45" s="1"/>
  <c r="E15" i="45" s="1"/>
  <c r="E16" i="45" s="1"/>
  <c r="E17" i="45" s="1"/>
  <c r="E18" i="45" s="1"/>
  <c r="E19" i="45" s="1"/>
  <c r="E20" i="45" s="1"/>
  <c r="E21" i="45" s="1"/>
  <c r="DK76" i="1"/>
  <c r="DK77" i="1" s="1"/>
  <c r="G109" i="80" l="1"/>
  <c r="B110" i="80"/>
  <c r="C110" i="79"/>
  <c r="F110" i="79" s="1"/>
  <c r="C110" i="78"/>
  <c r="F110" i="78" s="1"/>
  <c r="E22" i="45"/>
  <c r="C20" i="47" s="1"/>
  <c r="J20" i="47" s="1"/>
  <c r="C19" i="47"/>
  <c r="J19" i="47" s="1"/>
  <c r="A76" i="47"/>
  <c r="E22" i="49"/>
  <c r="H21" i="49"/>
  <c r="C110" i="80" l="1"/>
  <c r="F110" i="80" s="1"/>
  <c r="B111" i="79"/>
  <c r="G110" i="79"/>
  <c r="B111" i="78"/>
  <c r="G110" i="78"/>
  <c r="K19" i="47"/>
  <c r="K20" i="47"/>
  <c r="E23" i="45"/>
  <c r="H22" i="49"/>
  <c r="E23" i="49"/>
  <c r="B111" i="80" l="1"/>
  <c r="G110" i="80"/>
  <c r="C111" i="79"/>
  <c r="F111" i="79" s="1"/>
  <c r="C111" i="78"/>
  <c r="F111" i="78" s="1"/>
  <c r="C21" i="47"/>
  <c r="J21" i="47" s="1"/>
  <c r="K21" i="47" s="1"/>
  <c r="E24" i="45"/>
  <c r="E24" i="49"/>
  <c r="H23" i="49"/>
  <c r="D191" i="32"/>
  <c r="C111" i="80" l="1"/>
  <c r="F111" i="80"/>
  <c r="G111" i="79"/>
  <c r="B112" i="79"/>
  <c r="G111" i="78"/>
  <c r="B112" i="78"/>
  <c r="E25" i="45"/>
  <c r="C22" i="47"/>
  <c r="J22" i="47" s="1"/>
  <c r="H24" i="49"/>
  <c r="E25" i="49"/>
  <c r="G111" i="80" l="1"/>
  <c r="B112" i="80"/>
  <c r="C112" i="79"/>
  <c r="F112" i="79" s="1"/>
  <c r="C112" i="78"/>
  <c r="F112" i="78" s="1"/>
  <c r="E26" i="45"/>
  <c r="C23" i="47"/>
  <c r="J23" i="47" s="1"/>
  <c r="E26" i="49"/>
  <c r="H25" i="49"/>
  <c r="D186" i="32"/>
  <c r="C112" i="80" l="1"/>
  <c r="F112" i="80" s="1"/>
  <c r="B113" i="79"/>
  <c r="G112" i="79"/>
  <c r="B113" i="78"/>
  <c r="G112" i="78"/>
  <c r="C24" i="47"/>
  <c r="J24" i="47" s="1"/>
  <c r="E27" i="45"/>
  <c r="E27" i="49"/>
  <c r="H26" i="49"/>
  <c r="D120" i="37"/>
  <c r="D121" i="37"/>
  <c r="D122" i="37"/>
  <c r="D123" i="37"/>
  <c r="D124" i="37"/>
  <c r="F124" i="37" s="1"/>
  <c r="D125" i="37"/>
  <c r="F125" i="37" s="1"/>
  <c r="D126" i="37"/>
  <c r="F126" i="37" s="1"/>
  <c r="G126" i="37" s="1"/>
  <c r="H126" i="37" s="1"/>
  <c r="D127" i="37"/>
  <c r="F127" i="37" s="1"/>
  <c r="G127" i="37" s="1"/>
  <c r="H127" i="37" s="1"/>
  <c r="D128" i="37"/>
  <c r="F128" i="37" s="1"/>
  <c r="G128" i="37" s="1"/>
  <c r="H128" i="37" s="1"/>
  <c r="D129" i="37"/>
  <c r="F129" i="37" s="1"/>
  <c r="G129" i="37" s="1"/>
  <c r="H129" i="37" s="1"/>
  <c r="D130" i="37"/>
  <c r="F130" i="37" s="1"/>
  <c r="G130" i="37" s="1"/>
  <c r="H130" i="37" s="1"/>
  <c r="D131" i="37"/>
  <c r="F131" i="37" s="1"/>
  <c r="G131" i="37" s="1"/>
  <c r="H131" i="37" s="1"/>
  <c r="D132" i="37"/>
  <c r="F132" i="37" s="1"/>
  <c r="G132" i="37" s="1"/>
  <c r="H132" i="37" s="1"/>
  <c r="D133" i="37"/>
  <c r="F133" i="37" s="1"/>
  <c r="G133" i="37" s="1"/>
  <c r="H133" i="37" s="1"/>
  <c r="D134" i="37"/>
  <c r="F134" i="37" s="1"/>
  <c r="G134" i="37" s="1"/>
  <c r="D135" i="37"/>
  <c r="F135" i="37" s="1"/>
  <c r="G135" i="37" s="1"/>
  <c r="H135" i="37" s="1"/>
  <c r="D136" i="37"/>
  <c r="F136" i="37" s="1"/>
  <c r="G136" i="37" s="1"/>
  <c r="H136" i="37" s="1"/>
  <c r="D137" i="37"/>
  <c r="F137" i="37" s="1"/>
  <c r="G137" i="37" s="1"/>
  <c r="H137" i="37" s="1"/>
  <c r="D138" i="37"/>
  <c r="F138" i="37" s="1"/>
  <c r="G138" i="37" s="1"/>
  <c r="H138" i="37" s="1"/>
  <c r="D139" i="37"/>
  <c r="F139" i="37" s="1"/>
  <c r="G139" i="37" s="1"/>
  <c r="H139" i="37" s="1"/>
  <c r="D140" i="37"/>
  <c r="F140" i="37" s="1"/>
  <c r="G140" i="37" s="1"/>
  <c r="D141" i="37"/>
  <c r="F141" i="37" s="1"/>
  <c r="G141" i="37" s="1"/>
  <c r="H141" i="37" s="1"/>
  <c r="D142" i="37"/>
  <c r="F142" i="37" s="1"/>
  <c r="G142" i="37" s="1"/>
  <c r="H142" i="37" s="1"/>
  <c r="D143" i="37"/>
  <c r="F143" i="37" s="1"/>
  <c r="G143" i="37" s="1"/>
  <c r="D144" i="37"/>
  <c r="F144" i="37" s="1"/>
  <c r="G144" i="37" s="1"/>
  <c r="H144" i="37" s="1"/>
  <c r="D145" i="37"/>
  <c r="F145" i="37" s="1"/>
  <c r="G145" i="37" s="1"/>
  <c r="H145" i="37" s="1"/>
  <c r="D146" i="37"/>
  <c r="F146" i="37" s="1"/>
  <c r="G146" i="37" s="1"/>
  <c r="H146" i="37" s="1"/>
  <c r="D147" i="37"/>
  <c r="F147" i="37" s="1"/>
  <c r="G147" i="37" s="1"/>
  <c r="H147" i="37" s="1"/>
  <c r="D148" i="37"/>
  <c r="F148" i="37" s="1"/>
  <c r="G148" i="37" s="1"/>
  <c r="H148" i="37" s="1"/>
  <c r="D149" i="37"/>
  <c r="F149" i="37" s="1"/>
  <c r="G149" i="37" s="1"/>
  <c r="H149" i="37" s="1"/>
  <c r="D150" i="37"/>
  <c r="F150" i="37" s="1"/>
  <c r="G150" i="37" s="1"/>
  <c r="H150" i="37" s="1"/>
  <c r="D151" i="37"/>
  <c r="F151" i="37" s="1"/>
  <c r="G151" i="37" s="1"/>
  <c r="H151" i="37" s="1"/>
  <c r="D152" i="37"/>
  <c r="F152" i="37" s="1"/>
  <c r="G152" i="37" s="1"/>
  <c r="H152" i="37" s="1"/>
  <c r="D153" i="37"/>
  <c r="F153" i="37" s="1"/>
  <c r="G153" i="37" s="1"/>
  <c r="H153" i="37" s="1"/>
  <c r="D154" i="37"/>
  <c r="F154" i="37" s="1"/>
  <c r="G154" i="37" s="1"/>
  <c r="H154" i="37" s="1"/>
  <c r="D119" i="37"/>
  <c r="F118" i="37"/>
  <c r="G118" i="37" s="1"/>
  <c r="H125" i="37"/>
  <c r="H134" i="37"/>
  <c r="H140" i="37"/>
  <c r="H143" i="37"/>
  <c r="E119" i="37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B113" i="80" l="1"/>
  <c r="G112" i="80"/>
  <c r="C113" i="79"/>
  <c r="F113" i="79" s="1"/>
  <c r="C113" i="78"/>
  <c r="F113" i="78" s="1"/>
  <c r="C25" i="47"/>
  <c r="J25" i="47" s="1"/>
  <c r="E28" i="45"/>
  <c r="F122" i="37"/>
  <c r="G122" i="37" s="1"/>
  <c r="H122" i="37" s="1"/>
  <c r="F121" i="37"/>
  <c r="G121" i="37" s="1"/>
  <c r="H121" i="37" s="1"/>
  <c r="F120" i="37"/>
  <c r="G120" i="37" s="1"/>
  <c r="H120" i="37" s="1"/>
  <c r="F123" i="37"/>
  <c r="G123" i="37" s="1"/>
  <c r="H123" i="37" s="1"/>
  <c r="G124" i="37"/>
  <c r="H124" i="37" s="1"/>
  <c r="F119" i="37"/>
  <c r="D156" i="37"/>
  <c r="E28" i="49"/>
  <c r="H27" i="49"/>
  <c r="C113" i="80" l="1"/>
  <c r="F113" i="80"/>
  <c r="G113" i="79"/>
  <c r="B114" i="79"/>
  <c r="G113" i="78"/>
  <c r="B114" i="78"/>
  <c r="C26" i="47"/>
  <c r="J26" i="47" s="1"/>
  <c r="E29" i="45"/>
  <c r="F156" i="37"/>
  <c r="G119" i="37"/>
  <c r="H119" i="37" s="1"/>
  <c r="H28" i="49"/>
  <c r="E29" i="49"/>
  <c r="G113" i="80" l="1"/>
  <c r="B114" i="80"/>
  <c r="C114" i="79"/>
  <c r="F114" i="79" s="1"/>
  <c r="C114" i="78"/>
  <c r="F114" i="78" s="1"/>
  <c r="E30" i="45"/>
  <c r="C27" i="47"/>
  <c r="J27" i="47" s="1"/>
  <c r="E30" i="49"/>
  <c r="H29" i="49"/>
  <c r="C114" i="80" l="1"/>
  <c r="F114" i="80" s="1"/>
  <c r="B115" i="79"/>
  <c r="G114" i="79"/>
  <c r="B115" i="78"/>
  <c r="G114" i="78"/>
  <c r="E31" i="45"/>
  <c r="C28" i="47"/>
  <c r="J28" i="47" s="1"/>
  <c r="H30" i="49"/>
  <c r="E31" i="49"/>
  <c r="G114" i="80" l="1"/>
  <c r="B115" i="80"/>
  <c r="C115" i="79"/>
  <c r="F115" i="79" s="1"/>
  <c r="C115" i="78"/>
  <c r="F115" i="78" s="1"/>
  <c r="E32" i="45"/>
  <c r="C29" i="47"/>
  <c r="J29" i="47" s="1"/>
  <c r="E32" i="49"/>
  <c r="H31" i="49"/>
  <c r="D30" i="44"/>
  <c r="C115" i="80" l="1"/>
  <c r="F115" i="80"/>
  <c r="G115" i="79"/>
  <c r="B116" i="79"/>
  <c r="G115" i="78"/>
  <c r="B116" i="78"/>
  <c r="C30" i="47"/>
  <c r="J30" i="47" s="1"/>
  <c r="E33" i="45"/>
  <c r="H32" i="49"/>
  <c r="E33" i="49"/>
  <c r="D182" i="32"/>
  <c r="G115" i="80" l="1"/>
  <c r="B116" i="80"/>
  <c r="C116" i="79"/>
  <c r="F116" i="79" s="1"/>
  <c r="C116" i="78"/>
  <c r="F116" i="78" s="1"/>
  <c r="C31" i="47"/>
  <c r="J31" i="47" s="1"/>
  <c r="E34" i="45"/>
  <c r="E34" i="49"/>
  <c r="H33" i="49"/>
  <c r="C116" i="80" l="1"/>
  <c r="F116" i="80" s="1"/>
  <c r="B117" i="79"/>
  <c r="G116" i="79"/>
  <c r="B117" i="78"/>
  <c r="G116" i="78"/>
  <c r="E35" i="45"/>
  <c r="C32" i="47"/>
  <c r="J32" i="47" s="1"/>
  <c r="H34" i="49"/>
  <c r="E35" i="49"/>
  <c r="K74" i="29"/>
  <c r="K75" i="29"/>
  <c r="K73" i="29"/>
  <c r="K72" i="29"/>
  <c r="B117" i="80" l="1"/>
  <c r="G116" i="80"/>
  <c r="C117" i="79"/>
  <c r="F117" i="79" s="1"/>
  <c r="C117" i="78"/>
  <c r="F117" i="78" s="1"/>
  <c r="E36" i="45"/>
  <c r="C33" i="47"/>
  <c r="J33" i="47" s="1"/>
  <c r="E36" i="49"/>
  <c r="H35" i="49"/>
  <c r="C117" i="80" l="1"/>
  <c r="F117" i="80"/>
  <c r="G117" i="79"/>
  <c r="B118" i="79"/>
  <c r="G117" i="78"/>
  <c r="B118" i="78"/>
  <c r="C34" i="47"/>
  <c r="J34" i="47" s="1"/>
  <c r="E37" i="45"/>
  <c r="H36" i="49"/>
  <c r="E37" i="49"/>
  <c r="L74" i="29"/>
  <c r="L75" i="29"/>
  <c r="G117" i="80" l="1"/>
  <c r="B118" i="80"/>
  <c r="C118" i="79"/>
  <c r="F118" i="79" s="1"/>
  <c r="C118" i="78"/>
  <c r="F118" i="78" s="1"/>
  <c r="E38" i="45"/>
  <c r="C35" i="47"/>
  <c r="J35" i="47" s="1"/>
  <c r="E38" i="49"/>
  <c r="H37" i="49"/>
  <c r="C118" i="80" l="1"/>
  <c r="F118" i="80" s="1"/>
  <c r="B119" i="79"/>
  <c r="G118" i="79"/>
  <c r="B119" i="78"/>
  <c r="G118" i="78"/>
  <c r="E39" i="45"/>
  <c r="C36" i="47"/>
  <c r="J36" i="47" s="1"/>
  <c r="H38" i="49"/>
  <c r="E39" i="49"/>
  <c r="B119" i="80" l="1"/>
  <c r="G118" i="80"/>
  <c r="C119" i="79"/>
  <c r="F119" i="79" s="1"/>
  <c r="C119" i="78"/>
  <c r="F119" i="78" s="1"/>
  <c r="C37" i="47"/>
  <c r="E40" i="45"/>
  <c r="E40" i="49"/>
  <c r="H39" i="49"/>
  <c r="D175" i="32"/>
  <c r="D174" i="32"/>
  <c r="D173" i="32"/>
  <c r="C119" i="80" l="1"/>
  <c r="F119" i="80"/>
  <c r="G119" i="79"/>
  <c r="B120" i="79"/>
  <c r="G119" i="78"/>
  <c r="B120" i="78"/>
  <c r="E41" i="45"/>
  <c r="C38" i="47"/>
  <c r="H40" i="49"/>
  <c r="E41" i="49"/>
  <c r="K22" i="29"/>
  <c r="K23" i="29"/>
  <c r="K24" i="29"/>
  <c r="K25" i="29"/>
  <c r="G119" i="80" l="1"/>
  <c r="B120" i="80"/>
  <c r="C120" i="79"/>
  <c r="F120" i="79" s="1"/>
  <c r="C120" i="78"/>
  <c r="F120" i="78" s="1"/>
  <c r="C39" i="47"/>
  <c r="E42" i="45"/>
  <c r="E42" i="49"/>
  <c r="H41" i="49"/>
  <c r="C120" i="80" l="1"/>
  <c r="F120" i="80" s="1"/>
  <c r="B121" i="79"/>
  <c r="G120" i="79"/>
  <c r="B121" i="78"/>
  <c r="G120" i="78"/>
  <c r="E43" i="45"/>
  <c r="C40" i="47"/>
  <c r="H42" i="49"/>
  <c r="E43" i="49"/>
  <c r="B121" i="80" l="1"/>
  <c r="G120" i="80"/>
  <c r="C121" i="79"/>
  <c r="F121" i="79" s="1"/>
  <c r="C121" i="78"/>
  <c r="F121" i="78" s="1"/>
  <c r="E44" i="45"/>
  <c r="C41" i="47"/>
  <c r="E44" i="49"/>
  <c r="H43" i="49"/>
  <c r="T53" i="29"/>
  <c r="S53" i="29"/>
  <c r="C121" i="80" l="1"/>
  <c r="F121" i="80"/>
  <c r="G121" i="79"/>
  <c r="B122" i="79"/>
  <c r="G121" i="78"/>
  <c r="B122" i="78"/>
  <c r="C42" i="47"/>
  <c r="E45" i="45"/>
  <c r="H44" i="49"/>
  <c r="E45" i="49"/>
  <c r="K55" i="29"/>
  <c r="L55" i="29"/>
  <c r="K56" i="29"/>
  <c r="L56" i="29"/>
  <c r="K57" i="29"/>
  <c r="L57" i="29"/>
  <c r="K58" i="29"/>
  <c r="L58" i="29"/>
  <c r="K59" i="29"/>
  <c r="L59" i="29"/>
  <c r="K66" i="29"/>
  <c r="K67" i="29"/>
  <c r="K54" i="29"/>
  <c r="L54" i="29"/>
  <c r="K77" i="29"/>
  <c r="G121" i="80" l="1"/>
  <c r="B122" i="80"/>
  <c r="C122" i="79"/>
  <c r="F122" i="79" s="1"/>
  <c r="C122" i="78"/>
  <c r="F122" i="78" s="1"/>
  <c r="C43" i="47"/>
  <c r="E46" i="45"/>
  <c r="E46" i="49"/>
  <c r="H45" i="49"/>
  <c r="C122" i="80" l="1"/>
  <c r="F122" i="80" s="1"/>
  <c r="B123" i="79"/>
  <c r="G122" i="79"/>
  <c r="B123" i="78"/>
  <c r="G122" i="78"/>
  <c r="C44" i="47"/>
  <c r="E47" i="45"/>
  <c r="E47" i="49"/>
  <c r="H46" i="49"/>
  <c r="G122" i="80" l="1"/>
  <c r="B123" i="80"/>
  <c r="C123" i="79"/>
  <c r="F123" i="79" s="1"/>
  <c r="C123" i="78"/>
  <c r="F123" i="78" s="1"/>
  <c r="C45" i="47"/>
  <c r="E48" i="45"/>
  <c r="H47" i="49"/>
  <c r="E48" i="49"/>
  <c r="J22" i="29"/>
  <c r="J25" i="29"/>
  <c r="J24" i="29"/>
  <c r="J23" i="29"/>
  <c r="C123" i="80" l="1"/>
  <c r="F123" i="80"/>
  <c r="G123" i="79"/>
  <c r="B124" i="79"/>
  <c r="G123" i="78"/>
  <c r="B124" i="78"/>
  <c r="E49" i="45"/>
  <c r="C46" i="47"/>
  <c r="J34" i="29"/>
  <c r="E49" i="49"/>
  <c r="H48" i="49"/>
  <c r="K78" i="29"/>
  <c r="L78" i="29" s="1"/>
  <c r="K30" i="29"/>
  <c r="K32" i="29"/>
  <c r="K31" i="29"/>
  <c r="F113" i="37"/>
  <c r="G113" i="37" s="1"/>
  <c r="F112" i="37"/>
  <c r="G112" i="37"/>
  <c r="G123" i="80" l="1"/>
  <c r="B124" i="80"/>
  <c r="C124" i="79"/>
  <c r="F124" i="79" s="1"/>
  <c r="C124" i="78"/>
  <c r="F124" i="78" s="1"/>
  <c r="C47" i="47"/>
  <c r="E50" i="45"/>
  <c r="H49" i="49"/>
  <c r="E50" i="49"/>
  <c r="C124" i="80" l="1"/>
  <c r="F124" i="80" s="1"/>
  <c r="B125" i="79"/>
  <c r="G124" i="79"/>
  <c r="B125" i="78"/>
  <c r="G124" i="78"/>
  <c r="E51" i="45"/>
  <c r="C48" i="47"/>
  <c r="E51" i="49"/>
  <c r="H50" i="49"/>
  <c r="D169" i="32"/>
  <c r="G124" i="80" l="1"/>
  <c r="B125" i="80"/>
  <c r="C125" i="79"/>
  <c r="F125" i="79" s="1"/>
  <c r="C125" i="78"/>
  <c r="F125" i="78" s="1"/>
  <c r="E52" i="45"/>
  <c r="C49" i="47"/>
  <c r="H51" i="49"/>
  <c r="E52" i="49"/>
  <c r="J3" i="47"/>
  <c r="J4" i="47"/>
  <c r="J5" i="47"/>
  <c r="J6" i="47"/>
  <c r="J7" i="47"/>
  <c r="J8" i="47"/>
  <c r="K9" i="47" s="1"/>
  <c r="C125" i="80" l="1"/>
  <c r="F125" i="80"/>
  <c r="G125" i="79"/>
  <c r="B126" i="79"/>
  <c r="G125" i="78"/>
  <c r="B126" i="78"/>
  <c r="E53" i="45"/>
  <c r="C50" i="47"/>
  <c r="K4" i="47"/>
  <c r="K3" i="47"/>
  <c r="E53" i="49"/>
  <c r="H52" i="49"/>
  <c r="K8" i="47"/>
  <c r="K7" i="47"/>
  <c r="K6" i="47"/>
  <c r="K5" i="47"/>
  <c r="G125" i="80" l="1"/>
  <c r="B126" i="80"/>
  <c r="C126" i="79"/>
  <c r="F126" i="79" s="1"/>
  <c r="C126" i="78"/>
  <c r="F126" i="78" s="1"/>
  <c r="E54" i="45"/>
  <c r="C51" i="47"/>
  <c r="H53" i="49"/>
  <c r="E54" i="49"/>
  <c r="D164" i="32"/>
  <c r="C126" i="80" l="1"/>
  <c r="F126" i="80" s="1"/>
  <c r="B127" i="79"/>
  <c r="G126" i="79"/>
  <c r="B127" i="78"/>
  <c r="G126" i="78"/>
  <c r="E55" i="45"/>
  <c r="C52" i="47"/>
  <c r="E55" i="49"/>
  <c r="H54" i="49"/>
  <c r="G126" i="80" l="1"/>
  <c r="B127" i="80"/>
  <c r="C127" i="79"/>
  <c r="F127" i="79" s="1"/>
  <c r="C127" i="78"/>
  <c r="F127" i="78" s="1"/>
  <c r="E56" i="45"/>
  <c r="C53" i="47"/>
  <c r="H55" i="49"/>
  <c r="E56" i="49"/>
  <c r="C127" i="80" l="1"/>
  <c r="F127" i="80"/>
  <c r="G127" i="79"/>
  <c r="B128" i="79"/>
  <c r="G127" i="78"/>
  <c r="B128" i="78"/>
  <c r="C54" i="47"/>
  <c r="E57" i="45"/>
  <c r="E57" i="49"/>
  <c r="H56" i="49"/>
  <c r="G127" i="80" l="1"/>
  <c r="B128" i="80"/>
  <c r="C128" i="79"/>
  <c r="F128" i="79" s="1"/>
  <c r="C128" i="78"/>
  <c r="F128" i="78" s="1"/>
  <c r="E58" i="45"/>
  <c r="C55" i="47"/>
  <c r="H57" i="49"/>
  <c r="E58" i="49"/>
  <c r="E60" i="29"/>
  <c r="C59" i="29"/>
  <c r="C61" i="29" s="1"/>
  <c r="E56" i="29"/>
  <c r="E57" i="29"/>
  <c r="E58" i="29"/>
  <c r="E55" i="29"/>
  <c r="C128" i="80" l="1"/>
  <c r="F128" i="80" s="1"/>
  <c r="B129" i="79"/>
  <c r="G128" i="79"/>
  <c r="B129" i="78"/>
  <c r="G128" i="78"/>
  <c r="E59" i="45"/>
  <c r="C56" i="47"/>
  <c r="E59" i="29"/>
  <c r="D59" i="29" s="1"/>
  <c r="E59" i="49"/>
  <c r="H58" i="49"/>
  <c r="D165" i="32"/>
  <c r="B129" i="80" l="1"/>
  <c r="G128" i="80"/>
  <c r="C129" i="79"/>
  <c r="F129" i="79" s="1"/>
  <c r="C129" i="78"/>
  <c r="F129" i="78" s="1"/>
  <c r="E60" i="45"/>
  <c r="C57" i="47"/>
  <c r="E61" i="29"/>
  <c r="D61" i="29" s="1"/>
  <c r="H59" i="49"/>
  <c r="E60" i="49"/>
  <c r="C129" i="80" l="1"/>
  <c r="F129" i="80"/>
  <c r="G129" i="79"/>
  <c r="B130" i="79"/>
  <c r="G129" i="78"/>
  <c r="B130" i="78"/>
  <c r="E61" i="45"/>
  <c r="C58" i="47"/>
  <c r="E61" i="49"/>
  <c r="H60" i="49"/>
  <c r="D160" i="32"/>
  <c r="G129" i="80" l="1"/>
  <c r="B130" i="80"/>
  <c r="C130" i="79"/>
  <c r="F130" i="79" s="1"/>
  <c r="C130" i="78"/>
  <c r="F130" i="78" s="1"/>
  <c r="E62" i="45"/>
  <c r="C59" i="47"/>
  <c r="J59" i="47" s="1"/>
  <c r="H61" i="49"/>
  <c r="E62" i="49"/>
  <c r="H62" i="49" s="1"/>
  <c r="C130" i="80" l="1"/>
  <c r="F130" i="80" s="1"/>
  <c r="B131" i="79"/>
  <c r="G130" i="79"/>
  <c r="B131" i="78"/>
  <c r="G130" i="78"/>
  <c r="E63" i="45"/>
  <c r="C60" i="47"/>
  <c r="J60" i="47" s="1"/>
  <c r="K79" i="29"/>
  <c r="M79" i="29" s="1"/>
  <c r="K76" i="29"/>
  <c r="L76" i="29" s="1"/>
  <c r="G130" i="80" l="1"/>
  <c r="B131" i="80"/>
  <c r="C131" i="79"/>
  <c r="F131" i="79" s="1"/>
  <c r="C131" i="78"/>
  <c r="F131" i="78" s="1"/>
  <c r="C61" i="47"/>
  <c r="J61" i="47" s="1"/>
  <c r="E64" i="45"/>
  <c r="L79" i="29"/>
  <c r="L80" i="29"/>
  <c r="L77" i="29"/>
  <c r="V43" i="29"/>
  <c r="I11" i="29"/>
  <c r="I15" i="29" s="1"/>
  <c r="H46" i="29"/>
  <c r="T48" i="29"/>
  <c r="G45" i="29"/>
  <c r="G47" i="29" s="1"/>
  <c r="C131" i="80" l="1"/>
  <c r="F131" i="80"/>
  <c r="G131" i="79"/>
  <c r="B132" i="79"/>
  <c r="G131" i="78"/>
  <c r="B132" i="78"/>
  <c r="C62" i="47"/>
  <c r="J62" i="47" s="1"/>
  <c r="E65" i="45"/>
  <c r="L17" i="37"/>
  <c r="G131" i="80" l="1"/>
  <c r="B132" i="80"/>
  <c r="C132" i="79"/>
  <c r="F132" i="79" s="1"/>
  <c r="C132" i="78"/>
  <c r="F132" i="78" s="1"/>
  <c r="E66" i="45"/>
  <c r="C63" i="47"/>
  <c r="J63" i="47" s="1"/>
  <c r="D51" i="37"/>
  <c r="D52" i="37"/>
  <c r="D53" i="37"/>
  <c r="D54" i="37"/>
  <c r="D55" i="37"/>
  <c r="D56" i="37"/>
  <c r="D57" i="37"/>
  <c r="Y3" i="37"/>
  <c r="D159" i="32"/>
  <c r="D158" i="32"/>
  <c r="C132" i="80" l="1"/>
  <c r="F132" i="80" s="1"/>
  <c r="B133" i="79"/>
  <c r="G132" i="79"/>
  <c r="B133" i="78"/>
  <c r="G132" i="78"/>
  <c r="E67" i="45"/>
  <c r="C64" i="47"/>
  <c r="J64" i="47" s="1"/>
  <c r="I42" i="29"/>
  <c r="I41" i="29"/>
  <c r="F45" i="29"/>
  <c r="B133" i="80" l="1"/>
  <c r="G132" i="80"/>
  <c r="C133" i="79"/>
  <c r="F133" i="79" s="1"/>
  <c r="C133" i="78"/>
  <c r="F133" i="78" s="1"/>
  <c r="E68" i="45"/>
  <c r="C65" i="47"/>
  <c r="J65" i="47" s="1"/>
  <c r="F47" i="29"/>
  <c r="H47" i="29" s="1"/>
  <c r="H45" i="29"/>
  <c r="P133" i="32"/>
  <c r="P134" i="32" s="1"/>
  <c r="C133" i="80" l="1"/>
  <c r="F133" i="80"/>
  <c r="G133" i="79"/>
  <c r="B134" i="79"/>
  <c r="G133" i="78"/>
  <c r="B134" i="78"/>
  <c r="E69" i="45"/>
  <c r="C66" i="47"/>
  <c r="J66" i="47" s="1"/>
  <c r="S39" i="1"/>
  <c r="G133" i="80" l="1"/>
  <c r="B134" i="80"/>
  <c r="C134" i="79"/>
  <c r="F134" i="79" s="1"/>
  <c r="C134" i="78"/>
  <c r="F134" i="78" s="1"/>
  <c r="C67" i="47"/>
  <c r="J67" i="47" s="1"/>
  <c r="E70" i="45"/>
  <c r="D4" i="45"/>
  <c r="D5" i="45"/>
  <c r="D6" i="45"/>
  <c r="D7" i="45"/>
  <c r="D8" i="45"/>
  <c r="D9" i="45"/>
  <c r="D10" i="45"/>
  <c r="D11" i="45"/>
  <c r="D12" i="45"/>
  <c r="D13" i="45"/>
  <c r="D14" i="45"/>
  <c r="D15" i="45"/>
  <c r="D16" i="45"/>
  <c r="D17" i="45"/>
  <c r="D18" i="45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D47" i="45"/>
  <c r="D48" i="45"/>
  <c r="D49" i="45"/>
  <c r="D50" i="45"/>
  <c r="D51" i="45"/>
  <c r="D52" i="45"/>
  <c r="D53" i="45"/>
  <c r="D54" i="45"/>
  <c r="D55" i="45"/>
  <c r="D56" i="45"/>
  <c r="D57" i="45"/>
  <c r="D58" i="45"/>
  <c r="D59" i="45"/>
  <c r="D60" i="45"/>
  <c r="D61" i="45"/>
  <c r="D62" i="45"/>
  <c r="D63" i="45"/>
  <c r="D64" i="45"/>
  <c r="D65" i="45"/>
  <c r="D66" i="45"/>
  <c r="D67" i="45"/>
  <c r="D68" i="45"/>
  <c r="D69" i="45"/>
  <c r="D70" i="45"/>
  <c r="D71" i="45"/>
  <c r="D72" i="45"/>
  <c r="D73" i="45"/>
  <c r="D74" i="45"/>
  <c r="D75" i="45"/>
  <c r="D76" i="45"/>
  <c r="D77" i="45"/>
  <c r="D78" i="45"/>
  <c r="D79" i="45"/>
  <c r="D80" i="45"/>
  <c r="D81" i="45"/>
  <c r="D82" i="45"/>
  <c r="D83" i="45"/>
  <c r="D84" i="45"/>
  <c r="D85" i="45"/>
  <c r="D86" i="45"/>
  <c r="D3" i="45"/>
  <c r="H6" i="45"/>
  <c r="C134" i="80" l="1"/>
  <c r="F134" i="80" s="1"/>
  <c r="B135" i="79"/>
  <c r="G134" i="79"/>
  <c r="B135" i="78"/>
  <c r="G134" i="78"/>
  <c r="C68" i="47"/>
  <c r="J68" i="47" s="1"/>
  <c r="E71" i="45"/>
  <c r="P9" i="45"/>
  <c r="M9" i="45"/>
  <c r="N10" i="45" s="1"/>
  <c r="B135" i="80" l="1"/>
  <c r="G134" i="80"/>
  <c r="C135" i="79"/>
  <c r="F135" i="79" s="1"/>
  <c r="C135" i="78"/>
  <c r="F135" i="78" s="1"/>
  <c r="E72" i="45"/>
  <c r="C69" i="47"/>
  <c r="J69" i="47" s="1"/>
  <c r="H7" i="45"/>
  <c r="H8" i="45" s="1"/>
  <c r="C135" i="80" l="1"/>
  <c r="F135" i="80"/>
  <c r="G135" i="79"/>
  <c r="B136" i="79"/>
  <c r="G135" i="78"/>
  <c r="B136" i="78"/>
  <c r="E73" i="45"/>
  <c r="C70" i="47"/>
  <c r="J70" i="47" s="1"/>
  <c r="D68" i="32"/>
  <c r="G135" i="80" l="1"/>
  <c r="B136" i="80"/>
  <c r="C136" i="79"/>
  <c r="F136" i="79" s="1"/>
  <c r="C136" i="78"/>
  <c r="F136" i="78" s="1"/>
  <c r="C71" i="47"/>
  <c r="J71" i="47" s="1"/>
  <c r="E74" i="45"/>
  <c r="D149" i="32"/>
  <c r="C136" i="80" l="1"/>
  <c r="F136" i="80" s="1"/>
  <c r="B137" i="79"/>
  <c r="G136" i="79"/>
  <c r="B137" i="78"/>
  <c r="G136" i="78"/>
  <c r="E75" i="45"/>
  <c r="C72" i="47"/>
  <c r="J72" i="47" s="1"/>
  <c r="B137" i="80" l="1"/>
  <c r="G136" i="80"/>
  <c r="C137" i="79"/>
  <c r="F137" i="79" s="1"/>
  <c r="C137" i="78"/>
  <c r="F137" i="78" s="1"/>
  <c r="C73" i="47"/>
  <c r="J73" i="47" s="1"/>
  <c r="E76" i="45"/>
  <c r="D137" i="32"/>
  <c r="C137" i="80" l="1"/>
  <c r="F137" i="80"/>
  <c r="G137" i="79"/>
  <c r="B138" i="79"/>
  <c r="G137" i="78"/>
  <c r="B138" i="78"/>
  <c r="C74" i="47"/>
  <c r="J74" i="47" s="1"/>
  <c r="E77" i="45"/>
  <c r="D142" i="32"/>
  <c r="G137" i="80" l="1"/>
  <c r="B138" i="80"/>
  <c r="C138" i="79"/>
  <c r="F138" i="79" s="1"/>
  <c r="C138" i="78"/>
  <c r="F138" i="78" s="1"/>
  <c r="C75" i="47"/>
  <c r="J75" i="47" s="1"/>
  <c r="E78" i="45"/>
  <c r="D136" i="32"/>
  <c r="C138" i="80" l="1"/>
  <c r="F138" i="80" s="1"/>
  <c r="B139" i="79"/>
  <c r="G138" i="79"/>
  <c r="B139" i="78"/>
  <c r="G138" i="78"/>
  <c r="E79" i="45"/>
  <c r="C76" i="47"/>
  <c r="J76" i="47" s="1"/>
  <c r="D4" i="44"/>
  <c r="C4" i="44"/>
  <c r="B4" i="44"/>
  <c r="G138" i="80" l="1"/>
  <c r="B139" i="80"/>
  <c r="C139" i="79"/>
  <c r="F139" i="79" s="1"/>
  <c r="C139" i="78"/>
  <c r="F139" i="78" s="1"/>
  <c r="E80" i="45"/>
  <c r="C77" i="47"/>
  <c r="J77" i="47" s="1"/>
  <c r="D132" i="32"/>
  <c r="C139" i="80" l="1"/>
  <c r="F139" i="80"/>
  <c r="G139" i="79"/>
  <c r="B140" i="79"/>
  <c r="G139" i="78"/>
  <c r="B140" i="78"/>
  <c r="C78" i="47"/>
  <c r="J78" i="47" s="1"/>
  <c r="E81" i="45"/>
  <c r="P71" i="37"/>
  <c r="Q70" i="37"/>
  <c r="AO39" i="1"/>
  <c r="AO51" i="1" s="1"/>
  <c r="AN51" i="1"/>
  <c r="AM39" i="1"/>
  <c r="AM51" i="1" s="1"/>
  <c r="AL39" i="1"/>
  <c r="AL51" i="1" s="1"/>
  <c r="AK39" i="1"/>
  <c r="AK51" i="1" s="1"/>
  <c r="G139" i="80" l="1"/>
  <c r="B140" i="80"/>
  <c r="C140" i="79"/>
  <c r="F140" i="79" s="1"/>
  <c r="C140" i="78"/>
  <c r="F140" i="78" s="1"/>
  <c r="C79" i="47"/>
  <c r="J79" i="47" s="1"/>
  <c r="E82" i="45"/>
  <c r="C140" i="80" l="1"/>
  <c r="F140" i="80" s="1"/>
  <c r="B141" i="79"/>
  <c r="G140" i="79"/>
  <c r="B141" i="78"/>
  <c r="G140" i="78"/>
  <c r="E83" i="45"/>
  <c r="C80" i="47"/>
  <c r="J80" i="47" s="1"/>
  <c r="AC14" i="22"/>
  <c r="AC21" i="22" s="1"/>
  <c r="AA15" i="22"/>
  <c r="D128" i="32"/>
  <c r="O107" i="32"/>
  <c r="B141" i="80" l="1"/>
  <c r="G140" i="80"/>
  <c r="C141" i="79"/>
  <c r="F141" i="79" s="1"/>
  <c r="C141" i="78"/>
  <c r="F141" i="78" s="1"/>
  <c r="E84" i="45"/>
  <c r="C81" i="47"/>
  <c r="J81" i="47" s="1"/>
  <c r="B20" i="43"/>
  <c r="B27" i="43" s="1"/>
  <c r="F13" i="29"/>
  <c r="O17" i="29"/>
  <c r="C141" i="80" l="1"/>
  <c r="F141" i="80"/>
  <c r="G141" i="79"/>
  <c r="B142" i="79"/>
  <c r="G141" i="78"/>
  <c r="B142" i="78"/>
  <c r="C82" i="47"/>
  <c r="J82" i="47" s="1"/>
  <c r="E85" i="45"/>
  <c r="F14" i="29"/>
  <c r="G141" i="80" l="1"/>
  <c r="B142" i="80"/>
  <c r="C142" i="79"/>
  <c r="F142" i="79" s="1"/>
  <c r="C142" i="78"/>
  <c r="F142" i="78" s="1"/>
  <c r="C83" i="47"/>
  <c r="J83" i="47" s="1"/>
  <c r="E86" i="45"/>
  <c r="C84" i="47" s="1"/>
  <c r="J84" i="47" s="1"/>
  <c r="K45" i="29"/>
  <c r="V62" i="37"/>
  <c r="V14" i="37"/>
  <c r="S14" i="37" s="1"/>
  <c r="V15" i="37"/>
  <c r="S15" i="37" s="1"/>
  <c r="V16" i="37"/>
  <c r="S16" i="37" s="1"/>
  <c r="V17" i="37"/>
  <c r="S17" i="37" s="1"/>
  <c r="V18" i="37"/>
  <c r="S18" i="37" s="1"/>
  <c r="V19" i="37"/>
  <c r="S19" i="37" s="1"/>
  <c r="V20" i="37"/>
  <c r="S20" i="37" s="1"/>
  <c r="V21" i="37"/>
  <c r="S21" i="37" s="1"/>
  <c r="V22" i="37"/>
  <c r="S22" i="37" s="1"/>
  <c r="V23" i="37"/>
  <c r="S23" i="37" s="1"/>
  <c r="V24" i="37"/>
  <c r="S24" i="37" s="1"/>
  <c r="V25" i="37"/>
  <c r="S25" i="37" s="1"/>
  <c r="V26" i="37"/>
  <c r="S26" i="37" s="1"/>
  <c r="V27" i="37"/>
  <c r="S27" i="37" s="1"/>
  <c r="V28" i="37"/>
  <c r="S28" i="37" s="1"/>
  <c r="V29" i="37"/>
  <c r="S29" i="37" s="1"/>
  <c r="V30" i="37"/>
  <c r="V31" i="37"/>
  <c r="S31" i="37" s="1"/>
  <c r="V32" i="37"/>
  <c r="S32" i="37" s="1"/>
  <c r="V33" i="37"/>
  <c r="S33" i="37" s="1"/>
  <c r="V34" i="37"/>
  <c r="S34" i="37" s="1"/>
  <c r="V35" i="37"/>
  <c r="S35" i="37" s="1"/>
  <c r="V36" i="37"/>
  <c r="S36" i="37" s="1"/>
  <c r="V37" i="37"/>
  <c r="S37" i="37" s="1"/>
  <c r="V38" i="37"/>
  <c r="S38" i="37" s="1"/>
  <c r="V39" i="37"/>
  <c r="S39" i="37" s="1"/>
  <c r="V40" i="37"/>
  <c r="S40" i="37" s="1"/>
  <c r="V41" i="37"/>
  <c r="S41" i="37" s="1"/>
  <c r="V42" i="37"/>
  <c r="S42" i="37" s="1"/>
  <c r="V43" i="37"/>
  <c r="S43" i="37" s="1"/>
  <c r="V44" i="37"/>
  <c r="S44" i="37" s="1"/>
  <c r="V45" i="37"/>
  <c r="S45" i="37" s="1"/>
  <c r="V46" i="37"/>
  <c r="S46" i="37" s="1"/>
  <c r="V47" i="37"/>
  <c r="S47" i="37" s="1"/>
  <c r="V48" i="37"/>
  <c r="S48" i="37" s="1"/>
  <c r="V49" i="37"/>
  <c r="S49" i="37" s="1"/>
  <c r="V50" i="37"/>
  <c r="S50" i="37" s="1"/>
  <c r="V51" i="37"/>
  <c r="S51" i="37" s="1"/>
  <c r="V52" i="37"/>
  <c r="S52" i="37" s="1"/>
  <c r="V53" i="37"/>
  <c r="S53" i="37" s="1"/>
  <c r="V54" i="37"/>
  <c r="S54" i="37" s="1"/>
  <c r="V55" i="37"/>
  <c r="S55" i="37" s="1"/>
  <c r="V56" i="37"/>
  <c r="S56" i="37" s="1"/>
  <c r="V57" i="37"/>
  <c r="S57" i="37" s="1"/>
  <c r="V58" i="37"/>
  <c r="S58" i="37" s="1"/>
  <c r="V59" i="37"/>
  <c r="S59" i="37" s="1"/>
  <c r="V60" i="37"/>
  <c r="S60" i="37" s="1"/>
  <c r="V61" i="37"/>
  <c r="S61" i="37" s="1"/>
  <c r="V4" i="37"/>
  <c r="V5" i="37"/>
  <c r="V6" i="37"/>
  <c r="S6" i="37" s="1"/>
  <c r="V7" i="37"/>
  <c r="S7" i="37" s="1"/>
  <c r="V8" i="37"/>
  <c r="S8" i="37" s="1"/>
  <c r="V9" i="37"/>
  <c r="S9" i="37" s="1"/>
  <c r="V10" i="37"/>
  <c r="S10" i="37" s="1"/>
  <c r="V11" i="37"/>
  <c r="S11" i="37" s="1"/>
  <c r="V12" i="37"/>
  <c r="S12" i="37" s="1"/>
  <c r="V13" i="37"/>
  <c r="S13" i="37" s="1"/>
  <c r="V3" i="37"/>
  <c r="S30" i="37"/>
  <c r="Y16" i="37"/>
  <c r="Y17" i="37" s="1"/>
  <c r="Y20" i="37" s="1"/>
  <c r="T4" i="37"/>
  <c r="T5" i="37" s="1"/>
  <c r="T6" i="37" s="1"/>
  <c r="T7" i="37" s="1"/>
  <c r="T8" i="37" s="1"/>
  <c r="T9" i="37" s="1"/>
  <c r="T10" i="37" s="1"/>
  <c r="T11" i="37" s="1"/>
  <c r="T12" i="37" s="1"/>
  <c r="T13" i="37" s="1"/>
  <c r="T14" i="37" s="1"/>
  <c r="T15" i="37" s="1"/>
  <c r="T16" i="37" s="1"/>
  <c r="T17" i="37" s="1"/>
  <c r="T18" i="37" s="1"/>
  <c r="T19" i="37" s="1"/>
  <c r="T20" i="37" s="1"/>
  <c r="T21" i="37" s="1"/>
  <c r="T22" i="37" s="1"/>
  <c r="T23" i="37" s="1"/>
  <c r="T24" i="37" s="1"/>
  <c r="T25" i="37" s="1"/>
  <c r="T26" i="37" s="1"/>
  <c r="T27" i="37" s="1"/>
  <c r="T28" i="37" s="1"/>
  <c r="T29" i="37" s="1"/>
  <c r="T30" i="37" s="1"/>
  <c r="T31" i="37" s="1"/>
  <c r="T32" i="37" s="1"/>
  <c r="T33" i="37" s="1"/>
  <c r="T34" i="37" s="1"/>
  <c r="T35" i="37" s="1"/>
  <c r="T36" i="37" s="1"/>
  <c r="T37" i="37" s="1"/>
  <c r="T38" i="37" s="1"/>
  <c r="T39" i="37" s="1"/>
  <c r="T40" i="37" s="1"/>
  <c r="T41" i="37" s="1"/>
  <c r="C142" i="80" l="1"/>
  <c r="F142" i="80" s="1"/>
  <c r="B143" i="79"/>
  <c r="G142" i="79"/>
  <c r="B143" i="78"/>
  <c r="G142" i="78"/>
  <c r="T42" i="37"/>
  <c r="J37" i="47"/>
  <c r="Y5" i="37"/>
  <c r="Y6" i="37"/>
  <c r="Y7" i="37" s="1"/>
  <c r="Y2" i="37"/>
  <c r="D125" i="32"/>
  <c r="D10" i="43"/>
  <c r="D5" i="43"/>
  <c r="G142" i="80" l="1"/>
  <c r="B143" i="80"/>
  <c r="C143" i="79"/>
  <c r="F143" i="79" s="1"/>
  <c r="C143" i="78"/>
  <c r="F143" i="78" s="1"/>
  <c r="T43" i="37"/>
  <c r="J38" i="47"/>
  <c r="Y8" i="37"/>
  <c r="D6" i="43"/>
  <c r="D8" i="43" s="1"/>
  <c r="F4" i="43"/>
  <c r="G4" i="43" s="1"/>
  <c r="C10" i="43"/>
  <c r="C8" i="43"/>
  <c r="B8" i="43"/>
  <c r="B10" i="43"/>
  <c r="C143" i="80" l="1"/>
  <c r="F143" i="80"/>
  <c r="G143" i="79"/>
  <c r="B144" i="79"/>
  <c r="G143" i="78"/>
  <c r="B144" i="78"/>
  <c r="T44" i="37"/>
  <c r="J39" i="47"/>
  <c r="G143" i="80" l="1"/>
  <c r="B144" i="80"/>
  <c r="C144" i="79"/>
  <c r="F144" i="79" s="1"/>
  <c r="C144" i="78"/>
  <c r="F144" i="78" s="1"/>
  <c r="T45" i="37"/>
  <c r="J40" i="47"/>
  <c r="D119" i="32"/>
  <c r="D14" i="22"/>
  <c r="E14" i="22"/>
  <c r="F14" i="22"/>
  <c r="C14" i="22"/>
  <c r="U14" i="22"/>
  <c r="U21" i="22" s="1"/>
  <c r="M48" i="31"/>
  <c r="M50" i="31" s="1"/>
  <c r="C144" i="80" l="1"/>
  <c r="F144" i="80" s="1"/>
  <c r="B145" i="79"/>
  <c r="G144" i="79"/>
  <c r="B145" i="78"/>
  <c r="G144" i="78"/>
  <c r="T46" i="37"/>
  <c r="J41" i="47"/>
  <c r="D111" i="32"/>
  <c r="B145" i="80" l="1"/>
  <c r="G144" i="80"/>
  <c r="C145" i="79"/>
  <c r="F145" i="79" s="1"/>
  <c r="C145" i="78"/>
  <c r="F145" i="78" s="1"/>
  <c r="T47" i="37"/>
  <c r="J42" i="47"/>
  <c r="D109" i="32"/>
  <c r="D105" i="32"/>
  <c r="C145" i="80" l="1"/>
  <c r="F145" i="80"/>
  <c r="G145" i="79"/>
  <c r="B146" i="79"/>
  <c r="G145" i="78"/>
  <c r="B146" i="78"/>
  <c r="T48" i="37"/>
  <c r="J43" i="47"/>
  <c r="D104" i="32"/>
  <c r="G145" i="80" l="1"/>
  <c r="B146" i="80"/>
  <c r="C146" i="79"/>
  <c r="F146" i="79" s="1"/>
  <c r="C146" i="78"/>
  <c r="F146" i="78" s="1"/>
  <c r="T49" i="37"/>
  <c r="J44" i="47"/>
  <c r="C146" i="80" l="1"/>
  <c r="F146" i="80" s="1"/>
  <c r="B147" i="79"/>
  <c r="G146" i="79"/>
  <c r="B147" i="78"/>
  <c r="G146" i="78"/>
  <c r="T50" i="37"/>
  <c r="J45" i="47"/>
  <c r="D101" i="32"/>
  <c r="G146" i="80" l="1"/>
  <c r="B147" i="80"/>
  <c r="C147" i="79"/>
  <c r="F147" i="79" s="1"/>
  <c r="C147" i="78"/>
  <c r="F147" i="78" s="1"/>
  <c r="T51" i="37"/>
  <c r="J46" i="47"/>
  <c r="C147" i="80" l="1"/>
  <c r="F147" i="80"/>
  <c r="G147" i="79"/>
  <c r="B148" i="79"/>
  <c r="G147" i="78"/>
  <c r="B148" i="78"/>
  <c r="T52" i="37"/>
  <c r="J47" i="47"/>
  <c r="G147" i="80" l="1"/>
  <c r="B148" i="80"/>
  <c r="C148" i="79"/>
  <c r="F148" i="79" s="1"/>
  <c r="C148" i="78"/>
  <c r="F148" i="78" s="1"/>
  <c r="T53" i="37"/>
  <c r="J48" i="47"/>
  <c r="C148" i="80" l="1"/>
  <c r="F148" i="80" s="1"/>
  <c r="B149" i="79"/>
  <c r="G148" i="79"/>
  <c r="B149" i="78"/>
  <c r="G148" i="78"/>
  <c r="T54" i="37"/>
  <c r="J49" i="47"/>
  <c r="K48" i="31"/>
  <c r="K50" i="31" s="1"/>
  <c r="L48" i="31"/>
  <c r="L50" i="31" s="1"/>
  <c r="W15" i="22"/>
  <c r="W14" i="22"/>
  <c r="F19" i="22"/>
  <c r="B149" i="80" l="1"/>
  <c r="G148" i="80"/>
  <c r="C149" i="79"/>
  <c r="F149" i="79" s="1"/>
  <c r="C149" i="78"/>
  <c r="F149" i="78" s="1"/>
  <c r="T55" i="37"/>
  <c r="J50" i="47"/>
  <c r="W21" i="22"/>
  <c r="F22" i="22"/>
  <c r="F23" i="22" s="1"/>
  <c r="D97" i="32"/>
  <c r="C149" i="80" l="1"/>
  <c r="F149" i="80"/>
  <c r="G149" i="79"/>
  <c r="B150" i="79"/>
  <c r="G149" i="78"/>
  <c r="B150" i="78"/>
  <c r="T56" i="37"/>
  <c r="J51" i="47"/>
  <c r="D95" i="32"/>
  <c r="G149" i="80" l="1"/>
  <c r="B150" i="80"/>
  <c r="C150" i="79"/>
  <c r="F150" i="79" s="1"/>
  <c r="C150" i="78"/>
  <c r="F150" i="78" s="1"/>
  <c r="T57" i="37"/>
  <c r="J52" i="47"/>
  <c r="C150" i="80" l="1"/>
  <c r="F150" i="80" s="1"/>
  <c r="B151" i="79"/>
  <c r="G150" i="79"/>
  <c r="B151" i="78"/>
  <c r="G150" i="78"/>
  <c r="T58" i="37"/>
  <c r="J53" i="47"/>
  <c r="B151" i="80" l="1"/>
  <c r="G150" i="80"/>
  <c r="C151" i="79"/>
  <c r="F151" i="79" s="1"/>
  <c r="C151" i="78"/>
  <c r="F151" i="78" s="1"/>
  <c r="T59" i="37"/>
  <c r="J54" i="47"/>
  <c r="C151" i="80" l="1"/>
  <c r="F151" i="80"/>
  <c r="G151" i="79"/>
  <c r="B152" i="79"/>
  <c r="G151" i="78"/>
  <c r="B152" i="78"/>
  <c r="T60" i="37"/>
  <c r="J55" i="47"/>
  <c r="G151" i="80" l="1"/>
  <c r="B152" i="80"/>
  <c r="C152" i="79"/>
  <c r="F152" i="79" s="1"/>
  <c r="C152" i="78"/>
  <c r="F152" i="78" s="1"/>
  <c r="T61" i="37"/>
  <c r="J56" i="47"/>
  <c r="C152" i="80" l="1"/>
  <c r="F152" i="80" s="1"/>
  <c r="B153" i="79"/>
  <c r="G152" i="79"/>
  <c r="B153" i="78"/>
  <c r="G152" i="78"/>
  <c r="T62" i="37"/>
  <c r="B58" i="47" s="1"/>
  <c r="J58" i="47" s="1"/>
  <c r="J57" i="47"/>
  <c r="S71" i="32"/>
  <c r="S72" i="32" s="1"/>
  <c r="B153" i="80" l="1"/>
  <c r="G152" i="80"/>
  <c r="C153" i="79"/>
  <c r="F153" i="79" s="1"/>
  <c r="C153" i="78"/>
  <c r="F153" i="78" s="1"/>
  <c r="S74" i="32"/>
  <c r="C153" i="80" l="1"/>
  <c r="F153" i="80"/>
  <c r="G153" i="79"/>
  <c r="B154" i="79"/>
  <c r="G153" i="78"/>
  <c r="B154" i="78"/>
  <c r="P71" i="32"/>
  <c r="P72" i="32" s="1"/>
  <c r="P70" i="32"/>
  <c r="G153" i="80" l="1"/>
  <c r="B154" i="80"/>
  <c r="C154" i="79"/>
  <c r="F154" i="79" s="1"/>
  <c r="C154" i="78"/>
  <c r="F154" i="78" s="1"/>
  <c r="P74" i="32"/>
  <c r="P76" i="32" s="1"/>
  <c r="H91" i="32" s="1"/>
  <c r="H1" i="32" s="1"/>
  <c r="O25" i="31"/>
  <c r="O26" i="31" s="1"/>
  <c r="O27" i="31" s="1"/>
  <c r="C154" i="80" l="1"/>
  <c r="F154" i="80" s="1"/>
  <c r="B155" i="79"/>
  <c r="G154" i="79"/>
  <c r="B155" i="78"/>
  <c r="G154" i="78"/>
  <c r="P27" i="31"/>
  <c r="P26" i="31"/>
  <c r="P25" i="31"/>
  <c r="D12" i="37"/>
  <c r="D15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31" i="37"/>
  <c r="D33" i="37"/>
  <c r="D34" i="37"/>
  <c r="D35" i="37"/>
  <c r="D36" i="37"/>
  <c r="D37" i="37"/>
  <c r="D38" i="37"/>
  <c r="D39" i="37"/>
  <c r="D41" i="37"/>
  <c r="D42" i="37"/>
  <c r="D43" i="37"/>
  <c r="D44" i="37"/>
  <c r="D45" i="37"/>
  <c r="D46" i="37"/>
  <c r="D47" i="37"/>
  <c r="D48" i="37"/>
  <c r="D49" i="37"/>
  <c r="D50" i="37"/>
  <c r="D16" i="37"/>
  <c r="D40" i="37"/>
  <c r="D4" i="37"/>
  <c r="D6" i="37"/>
  <c r="D7" i="37"/>
  <c r="D8" i="37"/>
  <c r="D9" i="37"/>
  <c r="D10" i="37"/>
  <c r="D11" i="37"/>
  <c r="L25" i="37"/>
  <c r="L26" i="37" s="1"/>
  <c r="L29" i="37" s="1"/>
  <c r="G154" i="80" l="1"/>
  <c r="B155" i="80"/>
  <c r="C155" i="79"/>
  <c r="F155" i="79" s="1"/>
  <c r="C155" i="78"/>
  <c r="F155" i="78" s="1"/>
  <c r="D3" i="37"/>
  <c r="D13" i="37"/>
  <c r="C155" i="80" l="1"/>
  <c r="F155" i="80"/>
  <c r="G155" i="79"/>
  <c r="B156" i="79"/>
  <c r="G155" i="78"/>
  <c r="B156" i="78"/>
  <c r="D82" i="32"/>
  <c r="G155" i="80" l="1"/>
  <c r="B156" i="80"/>
  <c r="C156" i="79"/>
  <c r="F156" i="79" s="1"/>
  <c r="C156" i="78"/>
  <c r="F156" i="78" s="1"/>
  <c r="N11" i="37"/>
  <c r="N12" i="37" s="1"/>
  <c r="C156" i="80" l="1"/>
  <c r="F156" i="80" s="1"/>
  <c r="B157" i="79"/>
  <c r="G156" i="79"/>
  <c r="B157" i="78"/>
  <c r="G156" i="78"/>
  <c r="D76" i="32"/>
  <c r="G156" i="80" l="1"/>
  <c r="B157" i="80"/>
  <c r="C157" i="79"/>
  <c r="F157" i="79" s="1"/>
  <c r="C157" i="78"/>
  <c r="F157" i="78" s="1"/>
  <c r="AJ39" i="1"/>
  <c r="AJ51" i="1" s="1"/>
  <c r="AI39" i="1"/>
  <c r="AI51" i="1" s="1"/>
  <c r="AH39" i="1"/>
  <c r="AH51" i="1" s="1"/>
  <c r="AG39" i="1"/>
  <c r="AG51" i="1" s="1"/>
  <c r="AF39" i="1"/>
  <c r="AF51" i="1" s="1"/>
  <c r="AE39" i="1"/>
  <c r="AE51" i="1" s="1"/>
  <c r="AD39" i="1"/>
  <c r="AD51" i="1" s="1"/>
  <c r="AC51" i="1"/>
  <c r="AB39" i="1"/>
  <c r="AB51" i="1" s="1"/>
  <c r="AA39" i="1"/>
  <c r="AA51" i="1" s="1"/>
  <c r="Z39" i="1"/>
  <c r="Z51" i="1" s="1"/>
  <c r="C157" i="80" l="1"/>
  <c r="F157" i="80"/>
  <c r="G157" i="79"/>
  <c r="B158" i="79"/>
  <c r="G157" i="78"/>
  <c r="B158" i="78"/>
  <c r="P17" i="29"/>
  <c r="P18" i="29" s="1"/>
  <c r="G157" i="80" l="1"/>
  <c r="B158" i="80"/>
  <c r="C158" i="79"/>
  <c r="F158" i="79" s="1"/>
  <c r="C158" i="78"/>
  <c r="F158" i="78" s="1"/>
  <c r="E4" i="37"/>
  <c r="C158" i="80" l="1"/>
  <c r="F158" i="80" s="1"/>
  <c r="B159" i="79"/>
  <c r="G158" i="79"/>
  <c r="B159" i="78"/>
  <c r="G158" i="78"/>
  <c r="D67" i="32"/>
  <c r="G158" i="80" l="1"/>
  <c r="B159" i="80"/>
  <c r="C159" i="79"/>
  <c r="F159" i="79" s="1"/>
  <c r="C159" i="78"/>
  <c r="F159" i="78" s="1"/>
  <c r="D64" i="32"/>
  <c r="C159" i="80" l="1"/>
  <c r="F159" i="80"/>
  <c r="G159" i="79"/>
  <c r="B160" i="79"/>
  <c r="G159" i="78"/>
  <c r="B160" i="78"/>
  <c r="E80" i="26"/>
  <c r="L84" i="26"/>
  <c r="J88" i="26"/>
  <c r="J89" i="26" s="1"/>
  <c r="J90" i="26" s="1"/>
  <c r="L88" i="26"/>
  <c r="D89" i="26"/>
  <c r="D90" i="26"/>
  <c r="I90" i="26"/>
  <c r="D91" i="26"/>
  <c r="D92" i="26"/>
  <c r="C93" i="26"/>
  <c r="D95" i="26"/>
  <c r="S95" i="26"/>
  <c r="T95" i="26" s="1"/>
  <c r="C96" i="26"/>
  <c r="D96" i="26" s="1"/>
  <c r="O96" i="26"/>
  <c r="S96" i="26"/>
  <c r="T96" i="26" s="1"/>
  <c r="O97" i="26"/>
  <c r="S97" i="26"/>
  <c r="T97" i="26" s="1"/>
  <c r="K98" i="26"/>
  <c r="L98" i="26"/>
  <c r="M98" i="26"/>
  <c r="N98" i="26"/>
  <c r="Q98" i="26"/>
  <c r="D99" i="26"/>
  <c r="D102" i="26"/>
  <c r="K102" i="26"/>
  <c r="K106" i="26" s="1"/>
  <c r="L102" i="26"/>
  <c r="L113" i="26" s="1"/>
  <c r="M102" i="26"/>
  <c r="M106" i="26" s="1"/>
  <c r="N102" i="26"/>
  <c r="N106" i="26" s="1"/>
  <c r="K103" i="26"/>
  <c r="K107" i="26" s="1"/>
  <c r="L103" i="26"/>
  <c r="L114" i="26" s="1"/>
  <c r="M103" i="26"/>
  <c r="M107" i="26" s="1"/>
  <c r="N103" i="26"/>
  <c r="E105" i="26"/>
  <c r="S114" i="26"/>
  <c r="S116" i="26" s="1"/>
  <c r="G159" i="80" l="1"/>
  <c r="B160" i="80"/>
  <c r="C160" i="79"/>
  <c r="F160" i="79" s="1"/>
  <c r="C160" i="78"/>
  <c r="F160" i="78" s="1"/>
  <c r="N109" i="26"/>
  <c r="G99" i="26"/>
  <c r="L106" i="26"/>
  <c r="L109" i="26"/>
  <c r="L107" i="26"/>
  <c r="N113" i="26"/>
  <c r="N107" i="26"/>
  <c r="T116" i="26"/>
  <c r="N114" i="26"/>
  <c r="E91" i="26"/>
  <c r="E89" i="26"/>
  <c r="E94" i="26" s="1"/>
  <c r="M114" i="26"/>
  <c r="K114" i="26"/>
  <c r="M113" i="26"/>
  <c r="K113" i="26"/>
  <c r="M109" i="26"/>
  <c r="K109" i="26"/>
  <c r="C160" i="80" l="1"/>
  <c r="F160" i="80" s="1"/>
  <c r="B161" i="79"/>
  <c r="G160" i="79"/>
  <c r="B161" i="78"/>
  <c r="G160" i="78"/>
  <c r="O39" i="1"/>
  <c r="P39" i="1"/>
  <c r="Q39" i="1"/>
  <c r="R39" i="1"/>
  <c r="T39" i="1"/>
  <c r="V39" i="1"/>
  <c r="W39" i="1"/>
  <c r="W51" i="1" s="1"/>
  <c r="X39" i="1"/>
  <c r="Y39" i="1"/>
  <c r="N39" i="1"/>
  <c r="K34" i="29"/>
  <c r="B161" i="80" l="1"/>
  <c r="G160" i="80"/>
  <c r="C161" i="79"/>
  <c r="F161" i="79" s="1"/>
  <c r="C161" i="78"/>
  <c r="F161" i="78" s="1"/>
  <c r="Y51" i="1"/>
  <c r="V51" i="1"/>
  <c r="X51" i="1"/>
  <c r="C161" i="80" l="1"/>
  <c r="F161" i="80"/>
  <c r="G161" i="79"/>
  <c r="B162" i="79"/>
  <c r="G161" i="78"/>
  <c r="B162" i="78"/>
  <c r="D58" i="32"/>
  <c r="G161" i="80" l="1"/>
  <c r="B162" i="80"/>
  <c r="C162" i="79"/>
  <c r="F162" i="79" s="1"/>
  <c r="C162" i="78"/>
  <c r="F162" i="78" s="1"/>
  <c r="D55" i="32"/>
  <c r="D54" i="32"/>
  <c r="C162" i="80" l="1"/>
  <c r="F162" i="80" s="1"/>
  <c r="B163" i="79"/>
  <c r="G162" i="79"/>
  <c r="B163" i="78"/>
  <c r="G162" i="78"/>
  <c r="L39" i="1"/>
  <c r="G162" i="80" l="1"/>
  <c r="B163" i="80"/>
  <c r="C163" i="79"/>
  <c r="F163" i="79" s="1"/>
  <c r="C163" i="78"/>
  <c r="F163" i="78" s="1"/>
  <c r="D48" i="32"/>
  <c r="C163" i="80" l="1"/>
  <c r="F163" i="80" s="1"/>
  <c r="G163" i="79"/>
  <c r="B164" i="79"/>
  <c r="G163" i="78"/>
  <c r="B164" i="78"/>
  <c r="D25" i="32"/>
  <c r="G163" i="80" l="1"/>
  <c r="B164" i="80"/>
  <c r="C164" i="79"/>
  <c r="F164" i="79" s="1"/>
  <c r="C164" i="78"/>
  <c r="F164" i="78" s="1"/>
  <c r="D22" i="32"/>
  <c r="D21" i="32"/>
  <c r="D19" i="32"/>
  <c r="C164" i="80" l="1"/>
  <c r="F164" i="80" s="1"/>
  <c r="B165" i="79"/>
  <c r="G164" i="79"/>
  <c r="B165" i="78"/>
  <c r="G164" i="78"/>
  <c r="D8" i="32"/>
  <c r="B165" i="80" l="1"/>
  <c r="G164" i="80"/>
  <c r="C165" i="79"/>
  <c r="F165" i="79" s="1"/>
  <c r="C165" i="78"/>
  <c r="F165" i="78" s="1"/>
  <c r="D5" i="32"/>
  <c r="D1" i="32" s="1"/>
  <c r="C165" i="80" l="1"/>
  <c r="F165" i="80" s="1"/>
  <c r="G165" i="79"/>
  <c r="B166" i="79"/>
  <c r="G165" i="78"/>
  <c r="B166" i="78"/>
  <c r="U39" i="1"/>
  <c r="U51" i="1" s="1"/>
  <c r="G165" i="80" l="1"/>
  <c r="B166" i="80"/>
  <c r="C166" i="79"/>
  <c r="F166" i="79" s="1"/>
  <c r="C166" i="78"/>
  <c r="F166" i="78" s="1"/>
  <c r="T51" i="1"/>
  <c r="S51" i="1"/>
  <c r="R51" i="1"/>
  <c r="C166" i="80" l="1"/>
  <c r="F166" i="80" s="1"/>
  <c r="B167" i="79"/>
  <c r="G166" i="79"/>
  <c r="B167" i="78"/>
  <c r="G166" i="78"/>
  <c r="J39" i="1"/>
  <c r="B167" i="80" l="1"/>
  <c r="G166" i="80"/>
  <c r="C167" i="79"/>
  <c r="F167" i="79" s="1"/>
  <c r="C167" i="78"/>
  <c r="F167" i="78" s="1"/>
  <c r="Q56" i="26"/>
  <c r="R56" i="26"/>
  <c r="Q57" i="26"/>
  <c r="R54" i="26"/>
  <c r="Q55" i="26"/>
  <c r="Q54" i="26"/>
  <c r="C167" i="80" l="1"/>
  <c r="F167" i="80"/>
  <c r="G167" i="79"/>
  <c r="B168" i="79"/>
  <c r="G167" i="78"/>
  <c r="B168" i="78"/>
  <c r="R57" i="26"/>
  <c r="R55" i="26"/>
  <c r="I47" i="26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G167" i="80" l="1"/>
  <c r="B168" i="80"/>
  <c r="C168" i="79"/>
  <c r="F168" i="79" s="1"/>
  <c r="C168" i="78"/>
  <c r="F168" i="78" s="1"/>
  <c r="R58" i="26"/>
  <c r="Q58" i="26"/>
  <c r="Q51" i="1"/>
  <c r="C168" i="80" l="1"/>
  <c r="F168" i="80" s="1"/>
  <c r="B169" i="79"/>
  <c r="G168" i="79"/>
  <c r="G168" i="78"/>
  <c r="B169" i="78"/>
  <c r="Q59" i="26"/>
  <c r="R59" i="26"/>
  <c r="B169" i="80" l="1"/>
  <c r="G168" i="80"/>
  <c r="C169" i="79"/>
  <c r="F169" i="79" s="1"/>
  <c r="G169" i="79" s="1"/>
  <c r="C169" i="78"/>
  <c r="F169" i="78" s="1"/>
  <c r="G169" i="78" s="1"/>
  <c r="K47" i="26"/>
  <c r="K63" i="26"/>
  <c r="K46" i="26"/>
  <c r="C169" i="80" l="1"/>
  <c r="F169" i="80"/>
  <c r="G169" i="80" s="1"/>
  <c r="K49" i="26"/>
  <c r="K48" i="26" l="1"/>
  <c r="K50" i="26"/>
  <c r="G7" i="29"/>
  <c r="G6" i="29"/>
  <c r="K51" i="26" l="1"/>
  <c r="DP63" i="1"/>
  <c r="K52" i="26" l="1"/>
  <c r="C3" i="28"/>
  <c r="K53" i="26" l="1"/>
  <c r="K54" i="26" l="1"/>
  <c r="K55" i="26" l="1"/>
  <c r="K56" i="26" l="1"/>
  <c r="K57" i="26" l="1"/>
  <c r="R15" i="28"/>
  <c r="Q26" i="28"/>
  <c r="K58" i="26" l="1"/>
  <c r="I4" i="29"/>
  <c r="F6" i="29"/>
  <c r="F11" i="29"/>
  <c r="F4" i="29"/>
  <c r="F7" i="29"/>
  <c r="F12" i="29"/>
  <c r="F5" i="29"/>
  <c r="F15" i="29" l="1"/>
  <c r="J4" i="29"/>
  <c r="J11" i="29"/>
  <c r="J15" i="29" s="1"/>
  <c r="J5" i="29"/>
  <c r="K59" i="26"/>
  <c r="M47" i="28"/>
  <c r="M27" i="28"/>
  <c r="J17" i="29" l="1"/>
  <c r="K17" i="29" s="1"/>
  <c r="F16" i="29"/>
  <c r="I16" i="29"/>
  <c r="K60" i="26"/>
  <c r="K62" i="26" l="1"/>
  <c r="K61" i="26"/>
  <c r="K67" i="26" l="1"/>
  <c r="D66" i="26"/>
  <c r="J62" i="26"/>
  <c r="J63" i="26"/>
  <c r="J61" i="26"/>
  <c r="E3" i="28" l="1"/>
  <c r="E4" i="28"/>
  <c r="E5" i="28"/>
  <c r="E6" i="28"/>
  <c r="E7" i="28"/>
  <c r="E8" i="28"/>
  <c r="E9" i="28"/>
  <c r="E10" i="28"/>
  <c r="E11" i="28"/>
  <c r="E12" i="28"/>
  <c r="E13" i="28"/>
  <c r="E2" i="28"/>
  <c r="E15" i="28" l="1"/>
  <c r="P47" i="26" l="1"/>
  <c r="P48" i="26"/>
  <c r="P49" i="26"/>
  <c r="P50" i="26"/>
  <c r="P46" i="26"/>
  <c r="J60" i="26"/>
  <c r="J59" i="26"/>
  <c r="J58" i="26"/>
  <c r="J57" i="26"/>
  <c r="J56" i="26"/>
  <c r="J55" i="26"/>
  <c r="J54" i="26"/>
  <c r="J53" i="26"/>
  <c r="J52" i="26"/>
  <c r="J46" i="26"/>
  <c r="J47" i="26"/>
  <c r="J48" i="26"/>
  <c r="J49" i="26"/>
  <c r="J50" i="26"/>
  <c r="J51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J67" i="26" l="1"/>
  <c r="G44" i="26" l="1"/>
  <c r="G45" i="26"/>
  <c r="G46" i="26"/>
  <c r="E46" i="26" s="1"/>
  <c r="G47" i="26"/>
  <c r="E47" i="26" s="1"/>
  <c r="G48" i="26"/>
  <c r="E48" i="26" s="1"/>
  <c r="G49" i="26"/>
  <c r="E49" i="26" s="1"/>
  <c r="G50" i="26"/>
  <c r="E50" i="26" s="1"/>
  <c r="G51" i="26"/>
  <c r="E51" i="26" s="1"/>
  <c r="G52" i="26"/>
  <c r="E52" i="26" s="1"/>
  <c r="G53" i="26"/>
  <c r="E53" i="26" s="1"/>
  <c r="G54" i="26"/>
  <c r="E54" i="26" s="1"/>
  <c r="G55" i="26"/>
  <c r="E55" i="26" s="1"/>
  <c r="G56" i="26"/>
  <c r="E56" i="26" s="1"/>
  <c r="G57" i="26"/>
  <c r="E57" i="26" s="1"/>
  <c r="G58" i="26"/>
  <c r="E58" i="26" s="1"/>
  <c r="G59" i="26"/>
  <c r="E59" i="26" s="1"/>
  <c r="G60" i="26"/>
  <c r="E60" i="26" s="1"/>
  <c r="G61" i="26"/>
  <c r="E61" i="26" s="1"/>
  <c r="G62" i="26"/>
  <c r="E62" i="26" s="1"/>
  <c r="G43" i="26"/>
  <c r="J3" i="26"/>
  <c r="J10" i="26" s="1"/>
  <c r="J43" i="26" s="1"/>
  <c r="E64" i="26" l="1"/>
  <c r="J2" i="26"/>
  <c r="J5" i="26" s="1"/>
  <c r="J6" i="26" s="1"/>
  <c r="D38" i="4" l="1"/>
  <c r="D40" i="4" l="1"/>
  <c r="D41" i="4" s="1"/>
  <c r="K39" i="1" l="1"/>
  <c r="M39" i="1"/>
  <c r="J2" i="18"/>
  <c r="J3" i="18"/>
  <c r="J4" i="18"/>
  <c r="J5" i="18"/>
  <c r="J6" i="18"/>
  <c r="J7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8" i="18"/>
  <c r="V14" i="22" l="1"/>
  <c r="V21" i="22" s="1"/>
  <c r="K14" i="22"/>
  <c r="K21" i="22" s="1"/>
  <c r="J14" i="22"/>
  <c r="J21" i="22" s="1"/>
  <c r="T14" i="22"/>
  <c r="T21" i="22" s="1"/>
  <c r="S14" i="22"/>
  <c r="S21" i="22" s="1"/>
  <c r="R14" i="22"/>
  <c r="R21" i="22" s="1"/>
  <c r="Q14" i="22"/>
  <c r="Q21" i="22" s="1"/>
  <c r="P14" i="22"/>
  <c r="P21" i="22" s="1"/>
  <c r="O14" i="22"/>
  <c r="O21" i="22" s="1"/>
  <c r="N14" i="22"/>
  <c r="N21" i="22" s="1"/>
  <c r="M14" i="22"/>
  <c r="M21" i="22" s="1"/>
  <c r="L14" i="22"/>
  <c r="L21" i="22" s="1"/>
  <c r="C19" i="22"/>
  <c r="D19" i="22"/>
  <c r="E19" i="22"/>
  <c r="D22" i="22" l="1"/>
  <c r="D23" i="22" s="1"/>
  <c r="C22" i="22"/>
  <c r="C23" i="22" s="1"/>
  <c r="E22" i="22"/>
  <c r="E23" i="22" s="1"/>
  <c r="M51" i="1" l="1"/>
  <c r="N62" i="18"/>
  <c r="K62" i="18"/>
  <c r="O51" i="1" l="1"/>
  <c r="N51" i="1"/>
  <c r="P51" i="1"/>
  <c r="C34" i="18" l="1"/>
  <c r="L20" i="18"/>
  <c r="L22" i="18"/>
  <c r="L23" i="18"/>
  <c r="L24" i="18"/>
  <c r="L25" i="18"/>
  <c r="L27" i="18"/>
  <c r="L28" i="18"/>
  <c r="L29" i="18"/>
  <c r="L30" i="18"/>
  <c r="L31" i="18"/>
  <c r="L16" i="18"/>
  <c r="L18" i="18"/>
  <c r="L21" i="18"/>
  <c r="L26" i="18"/>
  <c r="L4" i="18"/>
  <c r="L5" i="18"/>
  <c r="L7" i="18"/>
  <c r="L11" i="18"/>
  <c r="L12" i="18"/>
  <c r="L13" i="18"/>
  <c r="L15" i="18"/>
  <c r="L17" i="18"/>
  <c r="L19" i="18"/>
  <c r="L6" i="18"/>
  <c r="L8" i="18"/>
  <c r="L9" i="18"/>
  <c r="L10" i="18"/>
  <c r="L14" i="18"/>
  <c r="L2" i="18"/>
  <c r="P39" i="18"/>
  <c r="J32" i="18" l="1"/>
  <c r="DU73" i="1" l="1"/>
  <c r="K3" i="18" l="1"/>
  <c r="K32" i="18" l="1"/>
  <c r="L3" i="18"/>
  <c r="L32" i="18" s="1"/>
  <c r="G41" i="4" l="1"/>
  <c r="I37" i="4"/>
  <c r="J37" i="4" s="1"/>
  <c r="H41" i="4" l="1"/>
  <c r="H42" i="4" s="1"/>
  <c r="K37" i="4"/>
  <c r="K38" i="4" s="1"/>
  <c r="L51" i="1" l="1"/>
  <c r="K51" i="1"/>
  <c r="J51" i="1"/>
  <c r="I39" i="1"/>
  <c r="I51" i="1" s="1"/>
  <c r="H39" i="1"/>
  <c r="H51" i="1" s="1"/>
  <c r="G39" i="1"/>
  <c r="G51" i="1" s="1"/>
  <c r="F39" i="1"/>
  <c r="F51" i="1" s="1"/>
  <c r="E39" i="1"/>
  <c r="E51" i="1" s="1"/>
  <c r="D39" i="1"/>
  <c r="D51" i="1" s="1"/>
  <c r="Q24" i="4" l="1"/>
  <c r="O24" i="4"/>
  <c r="N23" i="4"/>
  <c r="O23" i="4" s="1"/>
  <c r="Q23" i="4"/>
  <c r="Q22" i="4"/>
  <c r="N22" i="4"/>
  <c r="P23" i="4" l="1"/>
  <c r="R23" i="4" s="1"/>
  <c r="P24" i="4"/>
  <c r="R24" i="4" s="1"/>
  <c r="R11" i="4" l="1"/>
  <c r="Q11" i="4"/>
  <c r="M2" i="4"/>
  <c r="K16" i="4"/>
  <c r="M3" i="4"/>
  <c r="O22" i="4"/>
  <c r="P22" i="4" l="1"/>
  <c r="R22" i="4" s="1"/>
  <c r="A17" i="4" l="1"/>
  <c r="A20" i="4" s="1"/>
  <c r="B20" i="4" s="1"/>
  <c r="L8" i="3" l="1"/>
  <c r="K10" i="3"/>
  <c r="I2" i="3"/>
  <c r="I4" i="3" s="1"/>
  <c r="E9" i="3"/>
  <c r="B17" i="3"/>
  <c r="H2" i="3"/>
  <c r="L3" i="37"/>
  <c r="L2" i="37"/>
  <c r="L5" i="37" s="1"/>
  <c r="L16" i="37"/>
  <c r="D30" i="37" l="1"/>
  <c r="L19" i="37" s="1"/>
  <c r="L20" i="37" s="1"/>
  <c r="L15" i="37"/>
  <c r="L18" i="37" s="1"/>
  <c r="B43" i="55"/>
  <c r="L4" i="37" l="1"/>
  <c r="D5" i="37"/>
  <c r="L6" i="37" s="1"/>
  <c r="L7" i="37" s="1"/>
  <c r="E5" i="37"/>
  <c r="E6" i="37" s="1"/>
  <c r="E7" i="37" s="1"/>
  <c r="E8" i="37" s="1"/>
  <c r="E9" i="37" s="1"/>
  <c r="E10" i="37" s="1"/>
  <c r="E11" i="37" s="1"/>
  <c r="E12" i="37" s="1"/>
  <c r="E13" i="37" s="1"/>
  <c r="L10" i="37" l="1"/>
  <c r="L11" i="37" s="1"/>
  <c r="B4" i="77"/>
  <c r="B5" i="77" l="1"/>
  <c r="F5" i="77" s="1"/>
  <c r="B6" i="77" l="1"/>
  <c r="F6" i="77" s="1"/>
  <c r="B7" i="77" l="1"/>
  <c r="F7" i="77" s="1"/>
  <c r="B8" i="77" l="1"/>
  <c r="F8" i="77" s="1"/>
  <c r="B9" i="77" l="1"/>
  <c r="F9" i="77" s="1"/>
  <c r="B10" i="77" l="1"/>
  <c r="F10" i="77" s="1"/>
  <c r="B11" i="77" l="1"/>
  <c r="F11" i="77" s="1"/>
  <c r="B12" i="77" l="1"/>
  <c r="F12" i="77" s="1"/>
  <c r="B13" i="77" l="1"/>
  <c r="F13" i="77" s="1"/>
  <c r="B14" i="77" l="1"/>
  <c r="F14" i="77" s="1"/>
  <c r="B15" i="77" l="1"/>
  <c r="F15" i="77" s="1"/>
  <c r="B16" i="77" l="1"/>
  <c r="F16" i="77" s="1"/>
  <c r="B17" i="77" l="1"/>
  <c r="F17" i="77" s="1"/>
  <c r="B18" i="77" l="1"/>
  <c r="F18" i="77" s="1"/>
  <c r="C18" i="77" s="1"/>
  <c r="B19" i="77" l="1"/>
  <c r="F19" i="77" s="1"/>
  <c r="C19" i="77" s="1"/>
  <c r="B20" i="77" l="1"/>
  <c r="F20" i="77" s="1"/>
  <c r="C20" i="77" s="1"/>
  <c r="B21" i="77" l="1"/>
  <c r="F21" i="77" s="1"/>
  <c r="C21" i="77" s="1"/>
  <c r="B22" i="77" l="1"/>
  <c r="F22" i="77" s="1"/>
  <c r="C22" i="77" s="1"/>
  <c r="B23" i="77" l="1"/>
  <c r="F23" i="77" s="1"/>
  <c r="C23" i="77" s="1"/>
  <c r="B24" i="77" l="1"/>
  <c r="F24" i="77" s="1"/>
  <c r="C24" i="77" s="1"/>
  <c r="B25" i="77" l="1"/>
  <c r="F25" i="77" s="1"/>
  <c r="C25" i="77" s="1"/>
  <c r="B26" i="77" l="1"/>
  <c r="F26" i="77" s="1"/>
  <c r="C26" i="77" s="1"/>
  <c r="B27" i="77" l="1"/>
  <c r="F27" i="77" s="1"/>
  <c r="C27" i="77" s="1"/>
  <c r="B28" i="77" l="1"/>
  <c r="F28" i="77" s="1"/>
  <c r="C28" i="77" s="1"/>
  <c r="B29" i="77" l="1"/>
  <c r="F29" i="77" s="1"/>
  <c r="C29" i="77" s="1"/>
  <c r="B30" i="77" l="1"/>
  <c r="F30" i="77" s="1"/>
  <c r="C30" i="77" s="1"/>
  <c r="B31" i="77" l="1"/>
  <c r="F31" i="77" s="1"/>
  <c r="C31" i="77" s="1"/>
  <c r="B32" i="77" l="1"/>
  <c r="F32" i="77" s="1"/>
  <c r="C32" i="77" s="1"/>
  <c r="B33" i="77" l="1"/>
  <c r="F33" i="77" s="1"/>
  <c r="C33" i="77" s="1"/>
  <c r="B34" i="77" l="1"/>
  <c r="F34" i="77" s="1"/>
  <c r="C34" i="77" s="1"/>
  <c r="B35" i="77" l="1"/>
  <c r="F35" i="77" s="1"/>
  <c r="C35" i="77" s="1"/>
  <c r="B36" i="77" l="1"/>
  <c r="F36" i="77" s="1"/>
  <c r="C36" i="77" s="1"/>
  <c r="B37" i="77" l="1"/>
  <c r="F37" i="77" s="1"/>
  <c r="C37" i="77" s="1"/>
  <c r="B38" i="77" l="1"/>
  <c r="F38" i="77" s="1"/>
  <c r="C38" i="77" s="1"/>
  <c r="B39" i="77" l="1"/>
  <c r="F39" i="77" s="1"/>
  <c r="C39" i="77" s="1"/>
  <c r="B40" i="77" l="1"/>
  <c r="F40" i="77" s="1"/>
  <c r="C40" i="77" s="1"/>
  <c r="B41" i="77" l="1"/>
  <c r="F41" i="77" s="1"/>
  <c r="C41" i="77" s="1"/>
  <c r="B42" i="77" l="1"/>
  <c r="F42" i="77" s="1"/>
  <c r="C42" i="77" s="1"/>
  <c r="B43" i="77" l="1"/>
  <c r="F43" i="77" s="1"/>
  <c r="C43" i="77" s="1"/>
  <c r="B44" i="77" l="1"/>
  <c r="F44" i="77" s="1"/>
  <c r="C44" i="77" s="1"/>
  <c r="B45" i="77" l="1"/>
  <c r="F45" i="77" s="1"/>
  <c r="C45" i="77" s="1"/>
  <c r="B46" i="77" l="1"/>
  <c r="F46" i="77" s="1"/>
  <c r="C46" i="77" s="1"/>
  <c r="B47" i="77" l="1"/>
  <c r="F47" i="77" s="1"/>
  <c r="C47" i="77" s="1"/>
  <c r="B48" i="77" l="1"/>
  <c r="F48" i="77" s="1"/>
  <c r="C48" i="77" s="1"/>
  <c r="B49" i="77" l="1"/>
  <c r="F49" i="77" s="1"/>
  <c r="C49" i="77" s="1"/>
  <c r="B50" i="77" l="1"/>
  <c r="F50" i="77" s="1"/>
  <c r="C50" i="77" s="1"/>
  <c r="B51" i="77" l="1"/>
  <c r="F51" i="77" s="1"/>
  <c r="C51" i="77" s="1"/>
  <c r="B52" i="77" l="1"/>
  <c r="F52" i="77" s="1"/>
  <c r="C52" i="77" s="1"/>
  <c r="B53" i="77" l="1"/>
  <c r="F53" i="77" s="1"/>
  <c r="C53" i="77" s="1"/>
  <c r="B54" i="77" l="1"/>
  <c r="F54" i="77" s="1"/>
  <c r="C54" i="77" s="1"/>
  <c r="B55" i="77" l="1"/>
  <c r="F55" i="77" s="1"/>
  <c r="C55" i="77" s="1"/>
  <c r="B56" i="77" l="1"/>
  <c r="F56" i="77" s="1"/>
  <c r="C56" i="77" s="1"/>
  <c r="B57" i="77" l="1"/>
  <c r="F57" i="77" s="1"/>
  <c r="C57" i="77" s="1"/>
  <c r="B58" i="77" l="1"/>
  <c r="F58" i="77" s="1"/>
  <c r="C58" i="77" s="1"/>
  <c r="B59" i="77" l="1"/>
  <c r="F59" i="77" s="1"/>
  <c r="C59" i="77" s="1"/>
  <c r="B60" i="77" l="1"/>
  <c r="F60" i="77" s="1"/>
  <c r="C60" i="77" s="1"/>
  <c r="B61" i="77" l="1"/>
  <c r="F61" i="77" s="1"/>
  <c r="C61" i="77" s="1"/>
  <c r="B62" i="77" l="1"/>
  <c r="F62" i="77" s="1"/>
  <c r="C62" i="77" s="1"/>
  <c r="B63" i="77" l="1"/>
  <c r="F63" i="77" s="1"/>
  <c r="C63" i="77" s="1"/>
  <c r="B64" i="77" l="1"/>
  <c r="F64" i="77" s="1"/>
  <c r="C64" i="77" s="1"/>
  <c r="B65" i="77" l="1"/>
  <c r="F65" i="77" s="1"/>
  <c r="C65" i="77" s="1"/>
  <c r="B66" i="77" l="1"/>
  <c r="F66" i="77" s="1"/>
  <c r="C66" i="77" s="1"/>
  <c r="B67" i="77" l="1"/>
  <c r="F67" i="77" s="1"/>
  <c r="C67" i="77" s="1"/>
  <c r="B68" i="77" l="1"/>
  <c r="F68" i="77" s="1"/>
  <c r="C68" i="77" s="1"/>
  <c r="B69" i="77" l="1"/>
  <c r="F69" i="77" s="1"/>
  <c r="C69" i="77" s="1"/>
  <c r="B70" i="77" l="1"/>
  <c r="F70" i="77" s="1"/>
  <c r="C70" i="77" s="1"/>
  <c r="B71" i="77" l="1"/>
  <c r="F71" i="77" s="1"/>
  <c r="C71" i="77" s="1"/>
  <c r="B72" i="77" l="1"/>
  <c r="F72" i="77" s="1"/>
  <c r="C72" i="77" s="1"/>
  <c r="B73" i="77" l="1"/>
  <c r="F73" i="77" s="1"/>
  <c r="C73" i="77" s="1"/>
  <c r="B74" i="77" l="1"/>
  <c r="F74" i="77" s="1"/>
  <c r="C74" i="77" s="1"/>
  <c r="B75" i="77" l="1"/>
  <c r="F75" i="77" s="1"/>
  <c r="C75" i="77" s="1"/>
  <c r="B76" i="77" l="1"/>
  <c r="F76" i="77" s="1"/>
  <c r="C76" i="77" s="1"/>
  <c r="B77" i="77" l="1"/>
  <c r="F77" i="77" s="1"/>
  <c r="C77" i="77" s="1"/>
  <c r="B78" i="77" l="1"/>
  <c r="F78" i="77" s="1"/>
  <c r="C78" i="77" s="1"/>
  <c r="B79" i="77" l="1"/>
  <c r="F79" i="77" s="1"/>
  <c r="C79" i="77" s="1"/>
  <c r="B80" i="77" l="1"/>
  <c r="F80" i="77" s="1"/>
  <c r="C80" i="77" s="1"/>
  <c r="B81" i="77" l="1"/>
  <c r="F81" i="77" s="1"/>
  <c r="C81" i="77" s="1"/>
  <c r="B82" i="77" l="1"/>
  <c r="F82" i="77" s="1"/>
  <c r="C82" i="77" s="1"/>
  <c r="B83" i="77" l="1"/>
  <c r="F83" i="77" s="1"/>
  <c r="C83" i="77" s="1"/>
  <c r="B84" i="77" l="1"/>
  <c r="F84" i="77" s="1"/>
  <c r="C84" i="77" s="1"/>
  <c r="B85" i="77" l="1"/>
  <c r="F85" i="77" s="1"/>
  <c r="C85" i="77" s="1"/>
  <c r="B86" i="77" l="1"/>
  <c r="F86" i="77" s="1"/>
  <c r="C86" i="77" s="1"/>
  <c r="B87" i="77" l="1"/>
  <c r="F87" i="77" s="1"/>
  <c r="C87" i="77" s="1"/>
  <c r="B88" i="77" l="1"/>
  <c r="F88" i="77" s="1"/>
  <c r="C88" i="77" s="1"/>
  <c r="B89" i="77" l="1"/>
  <c r="F89" i="77" s="1"/>
  <c r="C89" i="77" s="1"/>
  <c r="B90" i="77" l="1"/>
  <c r="F90" i="77" s="1"/>
  <c r="C90" i="77" s="1"/>
  <c r="B91" i="77" l="1"/>
  <c r="F91" i="77" s="1"/>
  <c r="C91" i="77" s="1"/>
  <c r="B92" i="77" l="1"/>
  <c r="F92" i="77" s="1"/>
  <c r="C92" i="77" s="1"/>
  <c r="B93" i="77" l="1"/>
  <c r="F93" i="77" s="1"/>
  <c r="C93" i="77" s="1"/>
  <c r="B94" i="77" l="1"/>
  <c r="F94" i="77" s="1"/>
  <c r="C94" i="77" s="1"/>
  <c r="B95" i="77" l="1"/>
  <c r="F95" i="77" s="1"/>
  <c r="C95" i="77" s="1"/>
  <c r="B96" i="77" l="1"/>
  <c r="F96" i="77" s="1"/>
  <c r="C96" i="77" s="1"/>
  <c r="B97" i="77" l="1"/>
  <c r="F97" i="77" s="1"/>
  <c r="C97" i="77" s="1"/>
  <c r="B98" i="77" l="1"/>
  <c r="F98" i="77" s="1"/>
  <c r="C98" i="77" s="1"/>
  <c r="B99" i="77" l="1"/>
  <c r="F99" i="77" s="1"/>
  <c r="C99" i="77" s="1"/>
  <c r="B100" i="77" l="1"/>
  <c r="F100" i="77" s="1"/>
  <c r="C100" i="77" s="1"/>
  <c r="B101" i="77" l="1"/>
  <c r="F101" i="77" s="1"/>
  <c r="C101" i="77" s="1"/>
  <c r="B102" i="77" l="1"/>
  <c r="F102" i="77" s="1"/>
  <c r="C102" i="77" s="1"/>
  <c r="B103" i="77" l="1"/>
  <c r="F103" i="77" s="1"/>
  <c r="C103" i="77" s="1"/>
  <c r="B104" i="77" l="1"/>
  <c r="F104" i="77" s="1"/>
  <c r="C104" i="77" s="1"/>
  <c r="B105" i="77" l="1"/>
  <c r="F105" i="77" s="1"/>
  <c r="C105" i="77" s="1"/>
  <c r="B106" i="77" l="1"/>
  <c r="F106" i="77" s="1"/>
  <c r="C106" i="77" s="1"/>
  <c r="B107" i="77" l="1"/>
  <c r="F107" i="77" s="1"/>
  <c r="C107" i="77" s="1"/>
  <c r="B108" i="77" l="1"/>
  <c r="F108" i="77" s="1"/>
  <c r="C108" i="77" s="1"/>
  <c r="B109" i="77" l="1"/>
  <c r="F109" i="77" s="1"/>
  <c r="C109" i="77" s="1"/>
  <c r="B110" i="77" l="1"/>
  <c r="F110" i="77" s="1"/>
  <c r="C110" i="77" s="1"/>
  <c r="B111" i="77" l="1"/>
  <c r="F111" i="77" s="1"/>
  <c r="C111" i="77" s="1"/>
  <c r="B112" i="77" l="1"/>
  <c r="F112" i="77" s="1"/>
  <c r="C112" i="77" s="1"/>
  <c r="B113" i="77" l="1"/>
  <c r="F113" i="77" s="1"/>
  <c r="C113" i="77" s="1"/>
  <c r="B114" i="77" l="1"/>
  <c r="F114" i="77" s="1"/>
  <c r="C114" i="77" s="1"/>
  <c r="B115" i="77" l="1"/>
  <c r="F115" i="77" s="1"/>
  <c r="C115" i="77" s="1"/>
  <c r="B116" i="77" l="1"/>
  <c r="F116" i="77" s="1"/>
  <c r="C116" i="77" s="1"/>
  <c r="B117" i="77" l="1"/>
  <c r="F117" i="77" s="1"/>
  <c r="C117" i="77" s="1"/>
  <c r="B118" i="77" l="1"/>
  <c r="F118" i="77" s="1"/>
  <c r="C118" i="77" s="1"/>
  <c r="B119" i="77" l="1"/>
  <c r="F119" i="77" s="1"/>
  <c r="C119" i="77" s="1"/>
  <c r="B120" i="77" l="1"/>
  <c r="F120" i="77" s="1"/>
  <c r="C120" i="77" s="1"/>
  <c r="B121" i="77" l="1"/>
  <c r="F121" i="77" s="1"/>
  <c r="C121" i="77" s="1"/>
  <c r="B122" i="77" l="1"/>
  <c r="F122" i="77" s="1"/>
  <c r="C122" i="77" s="1"/>
  <c r="B123" i="77" l="1"/>
  <c r="F123" i="77" s="1"/>
  <c r="C123" i="77" s="1"/>
  <c r="B124" i="77" l="1"/>
  <c r="F124" i="77" s="1"/>
  <c r="C124" i="77" s="1"/>
  <c r="B125" i="77" l="1"/>
  <c r="F125" i="77" s="1"/>
  <c r="C125" i="77" s="1"/>
  <c r="B126" i="77" l="1"/>
  <c r="F126" i="77" s="1"/>
  <c r="C126" i="77" s="1"/>
  <c r="B127" i="77" l="1"/>
  <c r="F127" i="77" s="1"/>
  <c r="C127" i="77" s="1"/>
  <c r="B128" i="77" l="1"/>
  <c r="F128" i="77" s="1"/>
  <c r="C128" i="77" s="1"/>
  <c r="B129" i="77" l="1"/>
  <c r="F129" i="77" s="1"/>
  <c r="C129" i="77" s="1"/>
  <c r="B130" i="77" l="1"/>
  <c r="F130" i="77" s="1"/>
  <c r="C130" i="77" s="1"/>
  <c r="B131" i="77" l="1"/>
  <c r="F131" i="77" s="1"/>
  <c r="C131" i="77" s="1"/>
  <c r="B132" i="77" l="1"/>
  <c r="F132" i="77" s="1"/>
  <c r="C132" i="77" s="1"/>
  <c r="B133" i="77" l="1"/>
  <c r="F133" i="77" s="1"/>
  <c r="C133" i="77" s="1"/>
  <c r="B134" i="77" l="1"/>
  <c r="F134" i="77" s="1"/>
  <c r="C134" i="77" s="1"/>
  <c r="B135" i="77" l="1"/>
  <c r="F135" i="77" s="1"/>
  <c r="C135" i="77" s="1"/>
  <c r="B136" i="77" l="1"/>
  <c r="F136" i="77" s="1"/>
  <c r="C136" i="77" s="1"/>
  <c r="B137" i="77" l="1"/>
  <c r="F137" i="77" s="1"/>
  <c r="C137" i="77" s="1"/>
  <c r="B138" i="77" l="1"/>
  <c r="F138" i="77" s="1"/>
  <c r="C138" i="77" s="1"/>
  <c r="B139" i="77" l="1"/>
  <c r="F139" i="77" s="1"/>
  <c r="C139" i="77" s="1"/>
  <c r="B140" i="77" l="1"/>
  <c r="F140" i="77" s="1"/>
  <c r="C140" i="77" s="1"/>
  <c r="B141" i="77" l="1"/>
  <c r="F141" i="77" s="1"/>
  <c r="C141" i="77" s="1"/>
  <c r="B142" i="77" l="1"/>
  <c r="F142" i="77" s="1"/>
  <c r="C142" i="77" s="1"/>
  <c r="B143" i="77" l="1"/>
  <c r="F143" i="77" s="1"/>
  <c r="C143" i="77" s="1"/>
  <c r="B144" i="77" l="1"/>
  <c r="F144" i="77" s="1"/>
  <c r="C144" i="77" s="1"/>
  <c r="B145" i="77" l="1"/>
  <c r="F145" i="77" s="1"/>
  <c r="C145" i="77" s="1"/>
  <c r="B146" i="77" l="1"/>
  <c r="F146" i="77" s="1"/>
  <c r="C146" i="77" s="1"/>
  <c r="B147" i="77" l="1"/>
  <c r="F147" i="77" s="1"/>
  <c r="C147" i="77" s="1"/>
  <c r="B148" i="77" l="1"/>
  <c r="F148" i="77" s="1"/>
  <c r="C148" i="77" s="1"/>
  <c r="B149" i="77" l="1"/>
  <c r="F149" i="77" s="1"/>
  <c r="C149" i="77" s="1"/>
  <c r="B150" i="77" l="1"/>
  <c r="F150" i="77" s="1"/>
  <c r="C150" i="77" s="1"/>
  <c r="B151" i="77" l="1"/>
  <c r="F151" i="77" s="1"/>
  <c r="C151" i="77" s="1"/>
  <c r="B152" i="77" l="1"/>
  <c r="F152" i="77" s="1"/>
  <c r="C152" i="77" s="1"/>
  <c r="B153" i="77" l="1"/>
  <c r="F153" i="77" s="1"/>
  <c r="C153" i="77" s="1"/>
  <c r="B154" i="77" l="1"/>
  <c r="F154" i="77" s="1"/>
  <c r="C154" i="77" s="1"/>
  <c r="B155" i="77" l="1"/>
  <c r="F155" i="77" s="1"/>
  <c r="C155" i="77" s="1"/>
  <c r="B156" i="77" l="1"/>
  <c r="F156" i="77" s="1"/>
  <c r="C156" i="77" s="1"/>
  <c r="B157" i="77" l="1"/>
  <c r="F157" i="77" s="1"/>
  <c r="C157" i="77" s="1"/>
  <c r="B158" i="77" l="1"/>
  <c r="F158" i="77" s="1"/>
  <c r="C158" i="77" s="1"/>
  <c r="B159" i="77" l="1"/>
  <c r="F159" i="77" s="1"/>
  <c r="C159" i="77" s="1"/>
  <c r="B160" i="77" l="1"/>
  <c r="F160" i="77" s="1"/>
  <c r="C160" i="77" s="1"/>
  <c r="B161" i="77" l="1"/>
  <c r="F161" i="77" s="1"/>
  <c r="C161" i="77" s="1"/>
  <c r="B162" i="77" l="1"/>
  <c r="F162" i="77" s="1"/>
  <c r="C162" i="77" s="1"/>
  <c r="B163" i="77" l="1"/>
  <c r="F163" i="77" s="1"/>
  <c r="C163" i="77" s="1"/>
  <c r="B164" i="77" l="1"/>
  <c r="F164" i="77" s="1"/>
  <c r="C164" i="77" s="1"/>
  <c r="B165" i="77" l="1"/>
  <c r="F165" i="77" s="1"/>
  <c r="C165" i="77" s="1"/>
  <c r="B166" i="77" l="1"/>
  <c r="F166" i="77" s="1"/>
  <c r="C166" i="77" s="1"/>
  <c r="B167" i="77" l="1"/>
  <c r="F167" i="77" s="1"/>
  <c r="C167" i="77" s="1"/>
  <c r="B168" i="77" l="1"/>
  <c r="F168" i="77" s="1"/>
  <c r="C168" i="77" s="1"/>
  <c r="B169" i="77" l="1"/>
  <c r="F169" i="77" s="1"/>
  <c r="C169" i="7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Divakar Kadupu</author>
  </authors>
  <commentList>
    <comment ref="X5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100</t>
        </r>
      </text>
    </comment>
    <comment ref="E10" authorId="0" shapeId="0" xr:uid="{00000000-0006-0000-0100-000009000000}">
      <text>
        <r>
          <rPr>
            <sz val="9"/>
            <color indexed="81"/>
            <rFont val="Tahoma"/>
            <family val="2"/>
          </rPr>
          <t>-17154.00</t>
        </r>
      </text>
    </comment>
    <comment ref="CA10" authorId="0" shapeId="0" xr:uid="{7337B359-1A4C-4253-BF3A-C1E00BCB35BF}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CB10" authorId="0" shapeId="0" xr:uid="{5002C169-7FB9-41AE-B4AE-3FE14B23D772}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BJ14" authorId="0" shapeId="0" xr:uid="{28D1A651-4384-4810-A26D-671955D02E1A}">
      <text>
        <r>
          <rPr>
            <b/>
            <sz val="9"/>
            <color indexed="81"/>
            <rFont val="Tahoma"/>
            <family val="2"/>
          </rPr>
          <t>1st EMI</t>
        </r>
      </text>
    </comment>
    <comment ref="BM14" authorId="0" shapeId="0" xr:uid="{EB489FC2-E29D-42F4-858D-EC4EFF931470}">
      <text>
        <r>
          <rPr>
            <b/>
            <sz val="9"/>
            <color indexed="81"/>
            <rFont val="Tahoma"/>
            <family val="2"/>
          </rPr>
          <t>4th EMI</t>
        </r>
      </text>
    </comment>
    <comment ref="BP14" authorId="0" shapeId="0" xr:uid="{E6640239-4843-4745-8B4E-4A1A4461E034}">
      <text>
        <r>
          <rPr>
            <b/>
            <sz val="9"/>
            <color indexed="81"/>
            <rFont val="Tahoma"/>
            <family val="2"/>
          </rPr>
          <t>7th EMI</t>
        </r>
      </text>
    </comment>
    <comment ref="BR14" authorId="0" shapeId="0" xr:uid="{2D919D48-3CBD-4750-8226-91E18E60024C}">
      <text>
        <r>
          <rPr>
            <b/>
            <sz val="9"/>
            <color indexed="81"/>
            <rFont val="Tahoma"/>
            <family val="2"/>
          </rPr>
          <t>Last EMI (9)</t>
        </r>
      </text>
    </comment>
    <comment ref="E17" authorId="0" shapeId="0" xr:uid="{00000000-0006-0000-0100-00000E000000}">
      <text>
        <r>
          <rPr>
            <sz val="9"/>
            <color indexed="81"/>
            <rFont val="Tahoma"/>
            <family val="2"/>
          </rPr>
          <t>748.00</t>
        </r>
      </text>
    </comment>
    <comment ref="P17" authorId="0" shapeId="0" xr:uid="{00000000-0006-0000-0100-00000F000000}">
      <text>
        <r>
          <rPr>
            <sz val="8"/>
            <color indexed="81"/>
            <rFont val="Courier New"/>
            <family val="3"/>
          </rPr>
          <t>1276 - Milk
0060 - Newspaper
1050 - Elec Bill
1933 - Maintenance</t>
        </r>
        <r>
          <rPr>
            <b/>
            <sz val="8"/>
            <color indexed="81"/>
            <rFont val="Courier New"/>
            <family val="3"/>
          </rPr>
          <t xml:space="preserve">
Total - 4319</t>
        </r>
      </text>
    </comment>
    <comment ref="Q17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Milk - 1122
Elec Bill - 1197
NewsPaper - 180
Maintenance - 1548</t>
        </r>
      </text>
    </comment>
    <comment ref="R17" authorId="0" shapeId="0" xr:uid="{00000000-0006-0000-0100-000011000000}">
      <text>
        <r>
          <rPr>
            <b/>
            <sz val="8"/>
            <color indexed="81"/>
            <rFont val="Tahoma"/>
            <family val="2"/>
          </rPr>
          <t>Milk - 1386
Elec Bill - 2034
NewsPaper - 180
Maintenance - 1640</t>
        </r>
      </text>
    </comment>
    <comment ref="S17" authorId="0" shapeId="0" xr:uid="{00000000-0006-0000-0100-000012000000}">
      <text>
        <r>
          <rPr>
            <b/>
            <sz val="8"/>
            <color indexed="81"/>
            <rFont val="Tahoma"/>
            <family val="2"/>
          </rPr>
          <t>Milk - 1186
Elec Bill - 683
NewsPaper - Maintenance - 1806</t>
        </r>
      </text>
    </comment>
    <comment ref="T17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Milk - 1386
Elec Bill - 613
NewsPaper - 360
Maintenance - 1436</t>
        </r>
      </text>
    </comment>
    <comment ref="U17" authorId="0" shapeId="0" xr:uid="{00000000-0006-0000-0100-000014000000}">
      <text>
        <r>
          <rPr>
            <b/>
            <sz val="8"/>
            <color indexed="81"/>
            <rFont val="Tahoma"/>
            <family val="2"/>
          </rPr>
          <t>Milk - 1386
Elec Bill - 465
NewsPaper - 180
Maintenance - 1436</t>
        </r>
      </text>
    </comment>
    <comment ref="V17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Milk - 968
Newspaper - 170
Elec Bill - 568
Maintenance - 1656</t>
        </r>
      </text>
    </comment>
    <comment ref="W17" authorId="0" shapeId="0" xr:uid="{00000000-0006-0000-0100-000016000000}">
      <text>
        <r>
          <rPr>
            <sz val="8"/>
            <color indexed="81"/>
            <rFont val="Tahoma"/>
            <family val="2"/>
          </rPr>
          <t>Maintenance - 1600
Paper - 180
Milk - 1320
Elec Bill - 750</t>
        </r>
      </text>
    </comment>
    <comment ref="X17" authorId="0" shapeId="0" xr:uid="{00000000-0006-0000-0100-000017000000}">
      <text>
        <r>
          <rPr>
            <sz val="8"/>
            <color indexed="81"/>
            <rFont val="Tahoma"/>
            <family val="2"/>
          </rPr>
          <t>Maintenance - 1546
Paper - 220
Milk - 1056
Elec Bill - 600</t>
        </r>
      </text>
    </comment>
    <comment ref="Y17" authorId="0" shapeId="0" xr:uid="{00000000-0006-0000-0100-000018000000}">
      <text>
        <r>
          <rPr>
            <sz val="8"/>
            <color indexed="81"/>
            <rFont val="Tahoma"/>
            <family val="2"/>
          </rPr>
          <t>Milk - 1012
Newspaper - 
Maintenance - 1850
Power Bill - 560</t>
        </r>
      </text>
    </comment>
    <comment ref="Z17" authorId="0" shapeId="0" xr:uid="{00000000-0006-0000-0100-000019000000}">
      <text>
        <r>
          <rPr>
            <sz val="8"/>
            <color indexed="81"/>
            <rFont val="Tahoma"/>
            <family val="2"/>
          </rPr>
          <t>Milk - 1141
Elec Bill - 584
Maintenance - 1858
Newsapaper - 360</t>
        </r>
      </text>
    </comment>
    <comment ref="AA17" authorId="0" shapeId="0" xr:uid="{00000000-0006-0000-0100-00001A000000}">
      <text>
        <r>
          <rPr>
            <sz val="8"/>
            <color indexed="81"/>
            <rFont val="Tahoma"/>
            <family val="2"/>
          </rPr>
          <t>Milk - 1028
Elec Bill - 584
Maintenance - 1634
Newsapaper - 540</t>
        </r>
      </text>
    </comment>
    <comment ref="AB17" authorId="0" shapeId="0" xr:uid="{00000000-0006-0000-0100-00001B000000}">
      <text>
        <r>
          <rPr>
            <sz val="8"/>
            <color indexed="81"/>
            <rFont val="Tahoma"/>
            <family val="2"/>
          </rPr>
          <t>Milk - 1166
Elec Bill - 1035
Maintenance - 1166 (1634)
Newsapaper - 265</t>
        </r>
      </text>
    </comment>
    <comment ref="AC17" authorId="0" shapeId="0" xr:uid="{00000000-0006-0000-0100-00001C000000}">
      <text>
        <r>
          <rPr>
            <b/>
            <sz val="8"/>
            <color indexed="81"/>
            <rFont val="Tahoma"/>
            <family val="2"/>
          </rPr>
          <t>Divakar Kadupu: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17" authorId="0" shapeId="0" xr:uid="{00000000-0006-0000-0100-00001D000000}">
      <text>
        <r>
          <rPr>
            <sz val="8"/>
            <color indexed="81"/>
            <rFont val="Tahoma"/>
            <family val="2"/>
          </rPr>
          <t>Maintenance - 1727
Milk - 1500
Paper - 
Electricity - 2619</t>
        </r>
      </text>
    </comment>
    <comment ref="AE17" authorId="0" shapeId="0" xr:uid="{00000000-0006-0000-0100-00001E000000}">
      <text>
        <r>
          <rPr>
            <sz val="9"/>
            <color indexed="81"/>
            <rFont val="Tahoma"/>
            <family val="2"/>
          </rPr>
          <t>Paper - 275
Elec Bill - 872
Maintenance - 2050
Milk - 1500</t>
        </r>
      </text>
    </comment>
    <comment ref="AF17" authorId="0" shapeId="0" xr:uid="{53DF0718-7494-48EE-A830-1DE0CD0FC6EC}">
      <text>
        <r>
          <rPr>
            <b/>
            <sz val="9"/>
            <color indexed="81"/>
            <rFont val="Tahoma"/>
            <family val="2"/>
          </rPr>
          <t>Paper - 275
Elec Bill - 872
Maintenance - 1512
Milk - 1500</t>
        </r>
      </text>
    </comment>
    <comment ref="E19" authorId="0" shapeId="0" xr:uid="{00000000-0006-0000-0100-00001F000000}">
      <text>
        <r>
          <rPr>
            <sz val="9"/>
            <color indexed="81"/>
            <rFont val="Tahoma"/>
            <family val="2"/>
          </rPr>
          <t>Paid with AmexCC</t>
        </r>
      </text>
    </comment>
    <comment ref="E20" authorId="0" shapeId="0" xr:uid="{00000000-0006-0000-0100-000020000000}">
      <text>
        <r>
          <rPr>
            <sz val="9"/>
            <color indexed="81"/>
            <rFont val="Tahoma"/>
            <family val="2"/>
          </rPr>
          <t>2000</t>
        </r>
      </text>
    </comment>
    <comment ref="E21" authorId="0" shapeId="0" xr:uid="{00000000-0006-0000-0100-000021000000}">
      <text>
        <r>
          <rPr>
            <sz val="9"/>
            <color indexed="81"/>
            <rFont val="Tahoma"/>
            <family val="2"/>
          </rPr>
          <t>-864</t>
        </r>
      </text>
    </comment>
    <comment ref="D22" authorId="0" shapeId="0" xr:uid="{00000000-0006-0000-0100-000022000000}">
      <text>
        <r>
          <rPr>
            <sz val="9"/>
            <color indexed="81"/>
            <rFont val="Tahoma"/>
            <family val="2"/>
          </rPr>
          <t>28246.48</t>
        </r>
      </text>
    </comment>
    <comment ref="I22" authorId="0" shapeId="0" xr:uid="{00000000-0006-0000-0100-000023000000}">
      <text>
        <r>
          <rPr>
            <sz val="9"/>
            <color indexed="81"/>
            <rFont val="Tahoma"/>
            <family val="2"/>
          </rPr>
          <t>Last EMI of 1.30L</t>
        </r>
      </text>
    </comment>
    <comment ref="O22" authorId="0" shapeId="0" xr:uid="{00000000-0006-0000-0100-000024000000}">
      <text>
        <r>
          <rPr>
            <sz val="9"/>
            <color indexed="81"/>
            <rFont val="Tahoma"/>
            <family val="2"/>
          </rPr>
          <t>Last EMI of 1.13L</t>
        </r>
      </text>
    </comment>
    <comment ref="E27" authorId="0" shapeId="0" xr:uid="{00000000-0006-0000-0100-000025000000}">
      <text>
        <r>
          <rPr>
            <sz val="9"/>
            <color indexed="81"/>
            <rFont val="Tahoma"/>
            <family val="2"/>
          </rPr>
          <t>1400</t>
        </r>
      </text>
    </comment>
    <comment ref="J27" authorId="0" shapeId="0" xr:uid="{00000000-0006-0000-0100-000026000000}">
      <text>
        <r>
          <rPr>
            <sz val="9"/>
            <color indexed="81"/>
            <rFont val="Tahoma"/>
            <family val="2"/>
          </rPr>
          <t>2680</t>
        </r>
      </text>
    </comment>
    <comment ref="K27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1270</t>
        </r>
      </text>
    </comment>
    <comment ref="M27" authorId="0" shapeId="0" xr:uid="{00000000-0006-0000-0100-000028000000}">
      <text>
        <r>
          <rPr>
            <sz val="8"/>
            <color indexed="81"/>
            <rFont val="Tahoma"/>
            <family val="2"/>
          </rPr>
          <t>1526</t>
        </r>
      </text>
    </comment>
    <comment ref="O27" authorId="0" shapeId="0" xr:uid="{00000000-0006-0000-0100-000029000000}">
      <text>
        <r>
          <rPr>
            <b/>
            <sz val="8"/>
            <color indexed="81"/>
            <rFont val="Tahoma"/>
            <family val="2"/>
          </rPr>
          <t>1420</t>
        </r>
      </text>
    </comment>
    <comment ref="X38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149569.73</t>
        </r>
      </text>
    </comment>
    <comment ref="I41" authorId="0" shapeId="0" xr:uid="{00000000-0006-0000-0100-00002A000000}">
      <text>
        <r>
          <rPr>
            <sz val="9"/>
            <color indexed="81"/>
            <rFont val="Tahoma"/>
            <family val="2"/>
          </rPr>
          <t>139158</t>
        </r>
      </text>
    </comment>
    <comment ref="J41" authorId="0" shapeId="0" xr:uid="{00000000-0006-0000-0100-00002B000000}">
      <text>
        <r>
          <rPr>
            <sz val="9"/>
            <color indexed="81"/>
            <rFont val="Tahoma"/>
            <family val="2"/>
          </rPr>
          <t>147952.00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Divakar Kadupu</author>
  </authors>
  <commentList>
    <comment ref="D3" authorId="0" shapeId="0" xr:uid="{00000000-0006-0000-1600-000001000000}">
      <text>
        <r>
          <rPr>
            <sz val="9"/>
            <color indexed="81"/>
            <rFont val="Tahoma"/>
            <family val="2"/>
          </rPr>
          <t>Extra pipe for TV and Hometheatre cables</t>
        </r>
      </text>
    </comment>
    <comment ref="B6" authorId="0" shapeId="0" xr:uid="{00000000-0006-0000-1600-000002000000}">
      <text>
        <r>
          <rPr>
            <sz val="9"/>
            <color indexed="81"/>
            <rFont val="Tahoma"/>
            <family val="2"/>
          </rPr>
          <t>Cement - 5 Bags @320/-</t>
        </r>
      </text>
    </comment>
    <comment ref="C6" authorId="0" shapeId="0" xr:uid="{00000000-0006-0000-1600-000003000000}">
      <text>
        <r>
          <rPr>
            <sz val="9"/>
            <color indexed="81"/>
            <rFont val="Tahoma"/>
            <family val="2"/>
          </rPr>
          <t>8 Sand bags @200/- with transport 200</t>
        </r>
      </text>
    </comment>
    <comment ref="D6" authorId="0" shapeId="0" xr:uid="{00000000-0006-0000-1600-000004000000}">
      <text>
        <r>
          <rPr>
            <sz val="9"/>
            <color indexed="81"/>
            <rFont val="Tahoma"/>
            <family val="2"/>
          </rPr>
          <t>Sand unloading charges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Divakar Kadupu</author>
  </authors>
  <commentList>
    <comment ref="A4" authorId="0" shapeId="0" xr:uid="{00000000-0006-0000-1A00-000001000000}">
      <text>
        <r>
          <rPr>
            <b/>
            <sz val="8"/>
            <color indexed="81"/>
            <rFont val="Tahoma"/>
            <family val="2"/>
          </rPr>
          <t>Started from June 2016</t>
        </r>
      </text>
    </comment>
    <comment ref="C11" authorId="0" shapeId="0" xr:uid="{00000000-0006-0000-1A00-000002000000}">
      <text>
        <r>
          <rPr>
            <b/>
            <sz val="8"/>
            <color indexed="81"/>
            <rFont val="Tahoma"/>
            <family val="2"/>
          </rPr>
          <t>LTA - 42480.00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Divakar Kadupu</author>
  </authors>
  <commentList>
    <comment ref="AE5" authorId="0" shapeId="0" xr:uid="{F8A7FF7C-8BDE-46A2-A91D-467CBEB7E924}">
      <text>
        <r>
          <rPr>
            <b/>
            <sz val="8"/>
            <color indexed="81"/>
            <rFont val="Tahoma"/>
            <family val="2"/>
          </rPr>
          <t>6</t>
        </r>
      </text>
    </comment>
    <comment ref="X6" authorId="0" shapeId="0" xr:uid="{32D2A59D-89C5-40B4-9779-205257DCDD24}">
      <text>
        <r>
          <rPr>
            <b/>
            <sz val="8"/>
            <color indexed="81"/>
            <rFont val="Tahoma"/>
            <family val="2"/>
          </rPr>
          <t>100</t>
        </r>
      </text>
    </comment>
    <comment ref="E11" authorId="0" shapeId="0" xr:uid="{45FA166D-50C0-4DE4-A915-41D1008B8F86}">
      <text>
        <r>
          <rPr>
            <sz val="9"/>
            <color indexed="81"/>
            <rFont val="Tahoma"/>
            <family val="2"/>
          </rPr>
          <t>-17154.00</t>
        </r>
      </text>
    </comment>
    <comment ref="BJ15" authorId="0" shapeId="0" xr:uid="{8C2DCB27-967F-4FF9-9502-D08A686A5E97}">
      <text>
        <r>
          <rPr>
            <b/>
            <sz val="9"/>
            <color indexed="81"/>
            <rFont val="Tahoma"/>
            <family val="2"/>
          </rPr>
          <t>1st EMI</t>
        </r>
      </text>
    </comment>
    <comment ref="BM15" authorId="0" shapeId="0" xr:uid="{C6740E2F-457C-4730-8512-03B6EC212F78}">
      <text>
        <r>
          <rPr>
            <b/>
            <sz val="9"/>
            <color indexed="81"/>
            <rFont val="Tahoma"/>
            <family val="2"/>
          </rPr>
          <t>4th EMI</t>
        </r>
      </text>
    </comment>
    <comment ref="BP15" authorId="0" shapeId="0" xr:uid="{4396C024-ABDA-4DCE-9312-9DE050579FEE}">
      <text>
        <r>
          <rPr>
            <b/>
            <sz val="9"/>
            <color indexed="81"/>
            <rFont val="Tahoma"/>
            <family val="2"/>
          </rPr>
          <t>7th EMI</t>
        </r>
      </text>
    </comment>
    <comment ref="BR15" authorId="0" shapeId="0" xr:uid="{762D355A-CFA0-49F1-B22D-0256BF5EBF83}">
      <text>
        <r>
          <rPr>
            <b/>
            <sz val="9"/>
            <color indexed="81"/>
            <rFont val="Tahoma"/>
            <family val="2"/>
          </rPr>
          <t>Last EMI (9)</t>
        </r>
      </text>
    </comment>
    <comment ref="E17" authorId="0" shapeId="0" xr:uid="{BDC14BE4-F312-4B63-80D4-C82844DBFE26}">
      <text>
        <r>
          <rPr>
            <sz val="9"/>
            <color indexed="81"/>
            <rFont val="Tahoma"/>
            <family val="2"/>
          </rPr>
          <t>748.00</t>
        </r>
      </text>
    </comment>
    <comment ref="P17" authorId="0" shapeId="0" xr:uid="{4B63CD84-1D91-4C80-B49F-D0CC6A8B69DE}">
      <text>
        <r>
          <rPr>
            <sz val="8"/>
            <color indexed="81"/>
            <rFont val="Courier New"/>
            <family val="3"/>
          </rPr>
          <t>1276 - Milk
0060 - Newspaper
1050 - Elec Bill
1933 - Maintenance</t>
        </r>
        <r>
          <rPr>
            <b/>
            <sz val="8"/>
            <color indexed="81"/>
            <rFont val="Courier New"/>
            <family val="3"/>
          </rPr>
          <t xml:space="preserve">
Total - 4319</t>
        </r>
      </text>
    </comment>
    <comment ref="Q17" authorId="0" shapeId="0" xr:uid="{53DB2230-51F4-4CE1-B1B2-54D4E163C175}">
      <text>
        <r>
          <rPr>
            <b/>
            <sz val="8"/>
            <color indexed="81"/>
            <rFont val="Tahoma"/>
            <family val="2"/>
          </rPr>
          <t>Milk - 1122
Elec Bill - 1197
NewsPaper - 180
Maintenance - 1548</t>
        </r>
      </text>
    </comment>
    <comment ref="R17" authorId="0" shapeId="0" xr:uid="{C95236C6-CF56-4915-89AF-959BB175A22F}">
      <text>
        <r>
          <rPr>
            <b/>
            <sz val="8"/>
            <color indexed="81"/>
            <rFont val="Tahoma"/>
            <family val="2"/>
          </rPr>
          <t>Milk - 1386
Elec Bill - 2034
NewsPaper - 180
Maintenance - 1640</t>
        </r>
      </text>
    </comment>
    <comment ref="S17" authorId="0" shapeId="0" xr:uid="{188725E8-3EA9-46F5-829B-8BD189A375A5}">
      <text>
        <r>
          <rPr>
            <b/>
            <sz val="8"/>
            <color indexed="81"/>
            <rFont val="Tahoma"/>
            <family val="2"/>
          </rPr>
          <t>Milk - 1186
Elec Bill - 683
NewsPaper - Maintenance - 1806</t>
        </r>
      </text>
    </comment>
    <comment ref="T17" authorId="0" shapeId="0" xr:uid="{929ED3A0-E317-4B5B-94E2-A02CF4D8A96C}">
      <text>
        <r>
          <rPr>
            <b/>
            <sz val="8"/>
            <color indexed="81"/>
            <rFont val="Tahoma"/>
            <family val="2"/>
          </rPr>
          <t>Milk - 1386
Elec Bill - 613
NewsPaper - 360
Maintenance - 1436</t>
        </r>
      </text>
    </comment>
    <comment ref="U17" authorId="0" shapeId="0" xr:uid="{00AAEBEC-33FF-40BF-8126-A058353D350B}">
      <text>
        <r>
          <rPr>
            <b/>
            <sz val="8"/>
            <color indexed="81"/>
            <rFont val="Tahoma"/>
            <family val="2"/>
          </rPr>
          <t>Milk - 1386
Elec Bill - 465
NewsPaper - 180
Maintenance - 1436</t>
        </r>
      </text>
    </comment>
    <comment ref="V17" authorId="0" shapeId="0" xr:uid="{962E0D25-4076-47C0-B450-2A382AA067F9}">
      <text>
        <r>
          <rPr>
            <b/>
            <sz val="9"/>
            <color indexed="81"/>
            <rFont val="Tahoma"/>
            <family val="2"/>
          </rPr>
          <t>Milk - 968
Newspaper - 170
Elec Bill - 568
Maintenance - 1656</t>
        </r>
      </text>
    </comment>
    <comment ref="W17" authorId="0" shapeId="0" xr:uid="{6EFF12DD-6F57-4589-8E61-9F3F2445AA84}">
      <text>
        <r>
          <rPr>
            <sz val="8"/>
            <color indexed="81"/>
            <rFont val="Tahoma"/>
            <family val="2"/>
          </rPr>
          <t>Maintenance - 1600
Paper - 180
Milk - 1320
Elec Bill - 750</t>
        </r>
      </text>
    </comment>
    <comment ref="X17" authorId="0" shapeId="0" xr:uid="{7688BD46-F2C7-4055-8CC5-36FB232FEC14}">
      <text>
        <r>
          <rPr>
            <sz val="8"/>
            <color indexed="81"/>
            <rFont val="Tahoma"/>
            <family val="2"/>
          </rPr>
          <t>Maintenance - 1546
Paper - 220
Milk - 1056
Elec Bill - 600</t>
        </r>
      </text>
    </comment>
    <comment ref="Y17" authorId="0" shapeId="0" xr:uid="{3FEF9292-7091-453D-A150-CE2FBA6F9EBA}">
      <text>
        <r>
          <rPr>
            <sz val="8"/>
            <color indexed="81"/>
            <rFont val="Tahoma"/>
            <family val="2"/>
          </rPr>
          <t>Milk - 1012
Newspaper - 
Maintenance - 1850
Power Bill - 560</t>
        </r>
      </text>
    </comment>
    <comment ref="Z17" authorId="0" shapeId="0" xr:uid="{9E865EC9-F375-4EAF-B38D-7D856FC6E8D0}">
      <text>
        <r>
          <rPr>
            <sz val="8"/>
            <color indexed="81"/>
            <rFont val="Tahoma"/>
            <family val="2"/>
          </rPr>
          <t>Milk - 1141
Elec Bill - 584
Maintenance - 1858
Newsapaper - 360</t>
        </r>
      </text>
    </comment>
    <comment ref="AA17" authorId="0" shapeId="0" xr:uid="{E8A61982-C92F-4CB2-AAB7-6F239C615D3C}">
      <text>
        <r>
          <rPr>
            <sz val="8"/>
            <color indexed="81"/>
            <rFont val="Tahoma"/>
            <family val="2"/>
          </rPr>
          <t>Milk - 1028
Elec Bill - 584
Maintenance - 1634
Newsapaper - 540</t>
        </r>
      </text>
    </comment>
    <comment ref="AB17" authorId="0" shapeId="0" xr:uid="{3843050B-ADB1-4052-B5D0-CA3A444D328C}">
      <text>
        <r>
          <rPr>
            <sz val="8"/>
            <color indexed="81"/>
            <rFont val="Tahoma"/>
            <family val="2"/>
          </rPr>
          <t>Milk - 1166
Elec Bill - 1035
Maintenance - 1166 (1634)
Newsapaper - 265</t>
        </r>
      </text>
    </comment>
    <comment ref="AC17" authorId="0" shapeId="0" xr:uid="{9F54CFA5-53DF-484B-B394-7715472C8014}">
      <text>
        <r>
          <rPr>
            <b/>
            <sz val="8"/>
            <color indexed="81"/>
            <rFont val="Tahoma"/>
            <family val="2"/>
          </rPr>
          <t>Divakar Kadupu: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17" authorId="0" shapeId="0" xr:uid="{E6CDCEB2-5D2A-475F-A4AB-2875402E8510}">
      <text>
        <r>
          <rPr>
            <sz val="8"/>
            <color indexed="81"/>
            <rFont val="Tahoma"/>
            <family val="2"/>
          </rPr>
          <t>Maintenance - 1727
Milk - 1500
Paper - 
Electricity - 2619</t>
        </r>
      </text>
    </comment>
    <comment ref="AE17" authorId="0" shapeId="0" xr:uid="{53BD592D-8C9A-44B9-BD88-A0DEC1BBCDBB}">
      <text>
        <r>
          <rPr>
            <sz val="9"/>
            <color indexed="81"/>
            <rFont val="Tahoma"/>
            <family val="2"/>
          </rPr>
          <t>Paper - 275
Elec Bill - 872
Maintenance - 2050
Milk - 1500</t>
        </r>
      </text>
    </comment>
    <comment ref="AF17" authorId="0" shapeId="0" xr:uid="{275444AF-F35D-4817-85D4-8951D2C63875}">
      <text>
        <r>
          <rPr>
            <b/>
            <sz val="9"/>
            <color indexed="81"/>
            <rFont val="Tahoma"/>
            <family val="2"/>
          </rPr>
          <t>Paper - 275
Elec Bill - 872
Maintenance - 1512
Milk - 1500</t>
        </r>
      </text>
    </comment>
    <comment ref="E19" authorId="0" shapeId="0" xr:uid="{0D79338A-FCF3-4397-A016-6E26EDF576F1}">
      <text>
        <r>
          <rPr>
            <sz val="9"/>
            <color indexed="81"/>
            <rFont val="Tahoma"/>
            <family val="2"/>
          </rPr>
          <t>Paid with AmexCC</t>
        </r>
      </text>
    </comment>
    <comment ref="E20" authorId="0" shapeId="0" xr:uid="{BE2B2E91-30A5-4A1A-B19F-149EFF6FD5B0}">
      <text>
        <r>
          <rPr>
            <sz val="9"/>
            <color indexed="81"/>
            <rFont val="Tahoma"/>
            <family val="2"/>
          </rPr>
          <t>2000</t>
        </r>
      </text>
    </comment>
    <comment ref="E21" authorId="0" shapeId="0" xr:uid="{2B9565D4-C379-4BAD-8B2A-F30AFD5B2CFD}">
      <text>
        <r>
          <rPr>
            <sz val="9"/>
            <color indexed="81"/>
            <rFont val="Tahoma"/>
            <family val="2"/>
          </rPr>
          <t>-864</t>
        </r>
      </text>
    </comment>
    <comment ref="D22" authorId="0" shapeId="0" xr:uid="{DF963166-C9AA-4639-B7DD-F8F57640C81B}">
      <text>
        <r>
          <rPr>
            <sz val="9"/>
            <color indexed="81"/>
            <rFont val="Tahoma"/>
            <family val="2"/>
          </rPr>
          <t>28246.48</t>
        </r>
      </text>
    </comment>
    <comment ref="I22" authorId="0" shapeId="0" xr:uid="{187F9A5F-0361-43B7-961A-2442FFCA10A6}">
      <text>
        <r>
          <rPr>
            <sz val="9"/>
            <color indexed="81"/>
            <rFont val="Tahoma"/>
            <family val="2"/>
          </rPr>
          <t>Last EMI of 1.30L</t>
        </r>
      </text>
    </comment>
    <comment ref="O22" authorId="0" shapeId="0" xr:uid="{E9259CCF-97E6-4B2C-AB61-8F7F3A69050D}">
      <text>
        <r>
          <rPr>
            <sz val="9"/>
            <color indexed="81"/>
            <rFont val="Tahoma"/>
            <family val="2"/>
          </rPr>
          <t>Last EMI of 1.13L</t>
        </r>
      </text>
    </comment>
    <comment ref="E27" authorId="0" shapeId="0" xr:uid="{78A0ED8E-C59F-4B2E-BB6B-00EE709B913F}">
      <text>
        <r>
          <rPr>
            <sz val="9"/>
            <color indexed="81"/>
            <rFont val="Tahoma"/>
            <family val="2"/>
          </rPr>
          <t>1400</t>
        </r>
      </text>
    </comment>
    <comment ref="J27" authorId="0" shapeId="0" xr:uid="{A44F2A78-94C5-4E50-9341-EDB853750C5C}">
      <text>
        <r>
          <rPr>
            <sz val="9"/>
            <color indexed="81"/>
            <rFont val="Tahoma"/>
            <family val="2"/>
          </rPr>
          <t>2680</t>
        </r>
      </text>
    </comment>
    <comment ref="K27" authorId="0" shapeId="0" xr:uid="{E46041FE-11E1-4B50-8AA4-C3016965E644}">
      <text>
        <r>
          <rPr>
            <b/>
            <sz val="9"/>
            <color indexed="81"/>
            <rFont val="Tahoma"/>
            <family val="2"/>
          </rPr>
          <t>1270</t>
        </r>
      </text>
    </comment>
    <comment ref="M27" authorId="0" shapeId="0" xr:uid="{9511DCD2-7C78-4862-9F85-37003A80CBB4}">
      <text>
        <r>
          <rPr>
            <sz val="8"/>
            <color indexed="81"/>
            <rFont val="Tahoma"/>
            <family val="2"/>
          </rPr>
          <t>1526</t>
        </r>
      </text>
    </comment>
    <comment ref="O27" authorId="0" shapeId="0" xr:uid="{4ECD1DE8-8F03-4C39-B551-A27744B56F4A}">
      <text>
        <r>
          <rPr>
            <b/>
            <sz val="8"/>
            <color indexed="81"/>
            <rFont val="Tahoma"/>
            <family val="2"/>
          </rPr>
          <t>1420</t>
        </r>
      </text>
    </comment>
    <comment ref="X38" authorId="0" shapeId="0" xr:uid="{BEA31119-88A5-499E-AEE3-8E98813D0054}">
      <text>
        <r>
          <rPr>
            <b/>
            <sz val="8"/>
            <color indexed="81"/>
            <rFont val="Tahoma"/>
            <family val="2"/>
          </rPr>
          <t>149569.73</t>
        </r>
      </text>
    </comment>
    <comment ref="I41" authorId="0" shapeId="0" xr:uid="{A44A6FA6-2B89-484F-8E1D-29337BB70243}">
      <text>
        <r>
          <rPr>
            <sz val="9"/>
            <color indexed="81"/>
            <rFont val="Tahoma"/>
            <family val="2"/>
          </rPr>
          <t>139158</t>
        </r>
      </text>
    </comment>
    <comment ref="J41" authorId="0" shapeId="0" xr:uid="{4540E7F8-4337-4D6D-8F34-9A114ACC93C0}">
      <text>
        <r>
          <rPr>
            <sz val="9"/>
            <color indexed="81"/>
            <rFont val="Tahoma"/>
            <family val="2"/>
          </rPr>
          <t>147952.00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Divakar Kadupu</author>
  </authors>
  <commentList>
    <comment ref="BN30" authorId="0" shapeId="0" xr:uid="{00000000-0006-0000-0200-000001000000}">
      <text>
        <r>
          <rPr>
            <sz val="9"/>
            <color indexed="81"/>
            <rFont val="Tahoma"/>
            <family val="2"/>
          </rPr>
          <t>5162.00 during April 2016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Divakar Kadupu</author>
  </authors>
  <commentList>
    <comment ref="A2" authorId="0" shapeId="0" xr:uid="{5E36900D-DABA-411F-AA54-24290B4B2AE6}">
      <text>
        <r>
          <rPr>
            <b/>
            <sz val="9"/>
            <color indexed="81"/>
            <rFont val="Tahoma"/>
            <family val="2"/>
          </rPr>
          <t>2L</t>
        </r>
      </text>
    </comment>
    <comment ref="A4" authorId="0" shapeId="0" xr:uid="{29BEBECE-268D-4073-B7B7-BBBA7C0EAD44}">
      <text>
        <r>
          <rPr>
            <b/>
            <sz val="9"/>
            <color indexed="81"/>
            <rFont val="Tahoma"/>
            <family val="2"/>
          </rPr>
          <t>0</t>
        </r>
      </text>
    </comment>
    <comment ref="A6" authorId="0" shapeId="0" xr:uid="{C5157869-7134-4DDC-A575-158AD2708959}">
      <text>
        <r>
          <rPr>
            <b/>
            <sz val="9"/>
            <color indexed="81"/>
            <rFont val="Tahoma"/>
            <family val="2"/>
          </rPr>
          <t>1L</t>
        </r>
      </text>
    </comment>
    <comment ref="H48" authorId="0" shapeId="0" xr:uid="{527F73B1-8552-4F6B-85ED-7BDEE464C0FD}">
      <text>
        <r>
          <rPr>
            <b/>
            <sz val="9"/>
            <color indexed="81"/>
            <rFont val="Tahoma"/>
            <family val="2"/>
          </rPr>
          <t>Divakar Kadupu: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9" authorId="0" shapeId="0" xr:uid="{215DAE55-3041-49A4-8F5B-F6ECEB38C257}">
      <text>
        <r>
          <rPr>
            <b/>
            <sz val="9"/>
            <color indexed="81"/>
            <rFont val="Tahoma"/>
            <family val="2"/>
          </rPr>
          <t>LG Monitor
WestSide</t>
        </r>
      </text>
    </comment>
    <comment ref="H52" authorId="0" shapeId="0" xr:uid="{97133BAB-AEE7-43FA-83E9-F20F14FDF2AF}">
      <text>
        <r>
          <rPr>
            <b/>
            <sz val="9"/>
            <color indexed="81"/>
            <rFont val="Tahoma"/>
            <family val="2"/>
          </rPr>
          <t>OP Buds Pro Cancelled Order</t>
        </r>
      </text>
    </comment>
    <comment ref="H53" authorId="0" shapeId="0" xr:uid="{8E48CC91-846B-4B93-8914-F3ED1626C4FE}">
      <text>
        <r>
          <rPr>
            <b/>
            <sz val="9"/>
            <color indexed="81"/>
            <rFont val="Tahoma"/>
            <family val="2"/>
          </rPr>
          <t>OP Buds Pro Cancelled Order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Divakar Kadupu</author>
  </authors>
  <commentList>
    <comment ref="D4" authorId="0" shapeId="0" xr:uid="{AB658729-DB78-4C2B-83D7-15AC100DD472}">
      <text>
        <r>
          <rPr>
            <sz val="8"/>
            <color indexed="81"/>
            <rFont val="Tahoma"/>
            <family val="2"/>
          </rPr>
          <t>Will get after 29 July 2030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Divakar Kadupu</author>
  </authors>
  <commentList>
    <comment ref="E1" authorId="0" shapeId="0" xr:uid="{15E188D4-893D-476D-B2D0-281A4FAB31EE}">
      <text>
        <r>
          <rPr>
            <b/>
            <sz val="9"/>
            <color indexed="81"/>
            <rFont val="Tahoma"/>
            <family val="2"/>
          </rPr>
          <t>1 Lakh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5DF05467-BFB7-40BE-8379-B68F18F36328}">
      <text>
        <r>
          <rPr>
            <b/>
            <sz val="9"/>
            <color indexed="81"/>
            <rFont val="Tahoma"/>
            <family val="2"/>
          </rPr>
          <t>150000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59187C91-9509-4E70-8AF2-9C5B43D07D96}">
      <text>
        <r>
          <rPr>
            <b/>
            <sz val="9"/>
            <color indexed="81"/>
            <rFont val="Tahoma"/>
            <family val="2"/>
          </rPr>
          <t>200000</t>
        </r>
      </text>
    </comment>
    <comment ref="H1" authorId="0" shapeId="0" xr:uid="{02FE91B9-9EEA-4D07-A9B8-369380BDECC8}">
      <text>
        <r>
          <rPr>
            <b/>
            <sz val="9"/>
            <color indexed="81"/>
            <rFont val="Tahoma"/>
            <family val="2"/>
          </rPr>
          <t>100000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90000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Divakar Kadupu</author>
  </authors>
  <commentList>
    <comment ref="G28" authorId="0" shapeId="0" xr:uid="{00000000-0006-0000-0B00-000001000000}">
      <text>
        <r>
          <rPr>
            <sz val="8"/>
            <color indexed="81"/>
            <rFont val="Tahoma"/>
            <family val="2"/>
          </rPr>
          <t>Linked to mail2divakar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Divakar Kadupu</author>
  </authors>
  <commentList>
    <comment ref="D24" authorId="0" shapeId="0" xr:uid="{00000000-0006-0000-0900-000001000000}">
      <text>
        <r>
          <rPr>
            <sz val="8"/>
            <color indexed="81"/>
            <rFont val="Tahoma"/>
            <family val="2"/>
          </rPr>
          <t>Performance Incentive</t>
        </r>
      </text>
    </comment>
    <comment ref="D27" authorId="0" shapeId="0" xr:uid="{00000000-0006-0000-0900-000002000000}">
      <text>
        <r>
          <rPr>
            <sz val="8"/>
            <color indexed="81"/>
            <rFont val="Tahoma"/>
            <family val="2"/>
          </rPr>
          <t>Insurance premium refund</t>
        </r>
      </text>
    </comment>
    <comment ref="D36" authorId="0" shapeId="0" xr:uid="{00000000-0006-0000-0900-000003000000}">
      <text>
        <r>
          <rPr>
            <sz val="8"/>
            <color indexed="81"/>
            <rFont val="Tahoma"/>
            <family val="2"/>
          </rPr>
          <t>Performance Incentive</t>
        </r>
      </text>
    </comment>
    <comment ref="D48" authorId="0" shapeId="0" xr:uid="{8D30B82F-E80A-4555-A0B9-4136CF4AFD77}">
      <text>
        <r>
          <rPr>
            <sz val="8"/>
            <color indexed="81"/>
            <rFont val="Tahoma"/>
            <family val="2"/>
          </rPr>
          <t>Performance Incentive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Divakar Kadupu</author>
  </authors>
  <commentList>
    <comment ref="S1" authorId="0" shapeId="0" xr:uid="{00000000-0006-0000-0E00-000001000000}">
      <text>
        <r>
          <rPr>
            <sz val="10"/>
            <color indexed="81"/>
            <rFont val="Calibri"/>
            <family val="2"/>
            <scheme val="minor"/>
          </rPr>
          <t>18604195555 18605005555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" authorId="0" shapeId="0" xr:uid="{29606115-2E85-439E-8883-922016852BAC}">
      <text>
        <r>
          <rPr>
            <b/>
            <sz val="9"/>
            <color indexed="81"/>
            <rFont val="Tahoma"/>
            <family val="2"/>
          </rPr>
          <t>13th EMI</t>
        </r>
      </text>
    </comment>
    <comment ref="B27" authorId="0" shapeId="0" xr:uid="{A43E78A4-B82D-4047-958D-44E92D8C6B7C}">
      <text>
        <r>
          <rPr>
            <b/>
            <sz val="9"/>
            <color indexed="81"/>
            <rFont val="Tahoma"/>
            <family val="2"/>
          </rPr>
          <t>25th EMI</t>
        </r>
      </text>
    </comment>
    <comment ref="E29" authorId="0" shapeId="0" xr:uid="{5E79F44C-535D-4131-A8B1-36F8217B0B4C}">
      <text>
        <r>
          <rPr>
            <b/>
            <sz val="9"/>
            <color indexed="81"/>
            <rFont val="Tahoma"/>
            <family val="2"/>
          </rPr>
          <t>2094000 - TopUp</t>
        </r>
      </text>
    </comment>
    <comment ref="B39" authorId="0" shapeId="0" xr:uid="{3769203D-86A7-465B-8541-FB9C734ACBC0}">
      <text>
        <r>
          <rPr>
            <b/>
            <sz val="9"/>
            <color indexed="81"/>
            <rFont val="Tahoma"/>
            <family val="2"/>
          </rPr>
          <t>37th EMI</t>
        </r>
      </text>
    </comment>
    <comment ref="B55" authorId="0" shapeId="0" xr:uid="{9A064329-D32D-4DEB-B5AE-C65C49596FF0}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B67" authorId="0" shapeId="0" xr:uid="{0966432C-E35E-40C3-A527-FE235EFFB94B}">
      <text>
        <r>
          <rPr>
            <b/>
            <sz val="9"/>
            <color indexed="81"/>
            <rFont val="Tahoma"/>
            <family val="2"/>
          </rPr>
          <t>36</t>
        </r>
      </text>
    </comment>
    <comment ref="B79" authorId="0" shapeId="0" xr:uid="{D20C5EC7-F64B-47A3-B342-FBD0D9E7B546}">
      <text>
        <r>
          <rPr>
            <b/>
            <sz val="9"/>
            <color indexed="81"/>
            <rFont val="Tahoma"/>
            <family val="2"/>
          </rPr>
          <t>48</t>
        </r>
      </text>
    </comment>
    <comment ref="B91" authorId="0" shapeId="0" xr:uid="{1943408D-8F0C-4559-814C-2AF0BAF9AA3E}">
      <text>
        <r>
          <rPr>
            <b/>
            <sz val="9"/>
            <color indexed="81"/>
            <rFont val="Tahoma"/>
            <family val="2"/>
          </rPr>
          <t>60</t>
        </r>
      </text>
    </comment>
  </commentList>
</comments>
</file>

<file path=xl/sharedStrings.xml><?xml version="1.0" encoding="utf-8"?>
<sst xmlns="http://schemas.openxmlformats.org/spreadsheetml/2006/main" count="3793" uniqueCount="1579">
  <si>
    <t>Balance</t>
  </si>
  <si>
    <t>Date</t>
  </si>
  <si>
    <t>Description</t>
  </si>
  <si>
    <t>Bill Amt</t>
  </si>
  <si>
    <t>Divakar</t>
  </si>
  <si>
    <t>Venu</t>
  </si>
  <si>
    <t>RP</t>
  </si>
  <si>
    <t>Kishore</t>
  </si>
  <si>
    <t>Venkat</t>
  </si>
  <si>
    <t>Carry fwd</t>
  </si>
  <si>
    <t>Burger King</t>
  </si>
  <si>
    <t>Punjabi Affair</t>
  </si>
  <si>
    <t>Amazon Cashback</t>
  </si>
  <si>
    <t>PAAN</t>
  </si>
  <si>
    <t>Angaara</t>
  </si>
  <si>
    <t>Paid</t>
  </si>
  <si>
    <t>HDMI Cable</t>
  </si>
  <si>
    <t>Interest</t>
  </si>
  <si>
    <t>Total</t>
  </si>
  <si>
    <t>Bhargu</t>
  </si>
  <si>
    <t>NA</t>
  </si>
  <si>
    <t>Vasu</t>
  </si>
  <si>
    <t>Amazon</t>
  </si>
  <si>
    <t>Cashback - Amazon</t>
  </si>
  <si>
    <t>Vamsi-OUT</t>
  </si>
  <si>
    <t>Recvd</t>
  </si>
  <si>
    <t>Krishna</t>
  </si>
  <si>
    <t>Veg Biriyani</t>
  </si>
  <si>
    <t>Glasses/Water bottle</t>
  </si>
  <si>
    <t>Subhani</t>
  </si>
  <si>
    <t>Liquor</t>
  </si>
  <si>
    <t>Matka House Biriyani</t>
  </si>
  <si>
    <t>Petrol - Points</t>
  </si>
  <si>
    <t>Paytm</t>
  </si>
  <si>
    <t>Paid - Tej</t>
  </si>
  <si>
    <t>Bournivita Biscuits</t>
  </si>
  <si>
    <t>Angaara-Biriyani</t>
  </si>
  <si>
    <t>Angaara-ZeeraSoda</t>
  </si>
  <si>
    <t>Pullareddy</t>
  </si>
  <si>
    <t>Angaara Tip</t>
  </si>
  <si>
    <t>Laptop Rent</t>
  </si>
  <si>
    <t>Cash taken</t>
  </si>
  <si>
    <t>Paid back</t>
  </si>
  <si>
    <t>Amazon Pay + 100 USD</t>
  </si>
  <si>
    <t>Biriyani</t>
  </si>
  <si>
    <t>Amazon-Cooker</t>
  </si>
  <si>
    <t>Circuit</t>
  </si>
  <si>
    <t>Shirts</t>
  </si>
  <si>
    <t>Movie Vouchers Kotak</t>
  </si>
  <si>
    <t>Valid till</t>
  </si>
  <si>
    <t>Cash</t>
  </si>
  <si>
    <t>NFJAB4</t>
  </si>
  <si>
    <t>Mehfil - Biriyani</t>
  </si>
  <si>
    <t>FTKX7C</t>
  </si>
  <si>
    <t>HDFC Cash back</t>
  </si>
  <si>
    <t>Cleared</t>
  </si>
  <si>
    <t>SD Card 32 gb</t>
  </si>
  <si>
    <t>BookMyShow - 15 times 10%</t>
  </si>
  <si>
    <t>KFC</t>
  </si>
  <si>
    <t>Venky 2L on 2/19</t>
  </si>
  <si>
    <t>Amazon Prime</t>
  </si>
  <si>
    <t xml:space="preserve">Taken on </t>
  </si>
  <si>
    <t>Extra 50s - Team Lunch</t>
  </si>
  <si>
    <t>Today</t>
  </si>
  <si>
    <t>Days Passed</t>
  </si>
  <si>
    <t>LG HBS 760</t>
  </si>
  <si>
    <t>Interest Rate Per Month</t>
  </si>
  <si>
    <t>Interest per Day</t>
  </si>
  <si>
    <t>Amount taken</t>
  </si>
  <si>
    <t>Metro Elaichi aamras</t>
  </si>
  <si>
    <t>Interest on amount taken</t>
  </si>
  <si>
    <t>Chalo movie tickets</t>
  </si>
  <si>
    <t>Already Paid - Int</t>
  </si>
  <si>
    <t>Corn</t>
  </si>
  <si>
    <t>BMS - tickets</t>
  </si>
  <si>
    <t>Coffee Day</t>
  </si>
  <si>
    <t>Swiggy</t>
  </si>
  <si>
    <t>Bajaj fin Interest - 30days</t>
  </si>
  <si>
    <t>adjustements</t>
  </si>
  <si>
    <t>Bajaj fin Interest frm 3/21</t>
  </si>
  <si>
    <t>Mehfil - 2</t>
  </si>
  <si>
    <t>Lassi</t>
  </si>
  <si>
    <t>Eagle boys Pizza</t>
  </si>
  <si>
    <t>Amazon Pay</t>
  </si>
  <si>
    <t>Burgerking</t>
  </si>
  <si>
    <t>Pootharekulu</t>
  </si>
  <si>
    <t>Coffee-Continental</t>
  </si>
  <si>
    <t>Lassi - 4 Packets</t>
  </si>
  <si>
    <t>Redmi 5 Mobile</t>
  </si>
  <si>
    <t>paid via paytm</t>
  </si>
  <si>
    <t>Samosa</t>
  </si>
  <si>
    <t>RBLCC BMS Tickets</t>
  </si>
  <si>
    <t>Mehfil-200</t>
  </si>
  <si>
    <t>ChromeCast+Tickets</t>
  </si>
  <si>
    <t>Bookmyshow tickets</t>
  </si>
  <si>
    <t>iPhone Screen guard</t>
  </si>
  <si>
    <t>Punugulu</t>
  </si>
  <si>
    <t>Movie tickets</t>
  </si>
  <si>
    <t>Hyderabad Xpress</t>
  </si>
  <si>
    <t>Previous Balance</t>
  </si>
  <si>
    <t>Ye Lo</t>
  </si>
  <si>
    <t>Money adjusted</t>
  </si>
  <si>
    <t>Mehfl</t>
  </si>
  <si>
    <t>P Ram Mohan Rao</t>
  </si>
  <si>
    <t>Current balance</t>
  </si>
  <si>
    <t>Matrusri</t>
  </si>
  <si>
    <t>Excess</t>
  </si>
  <si>
    <t>Chai</t>
  </si>
  <si>
    <t>Angaara - Kaala</t>
  </si>
  <si>
    <t>Kaala Movie</t>
  </si>
  <si>
    <t>Kishore - Cash</t>
  </si>
  <si>
    <t>Dragon Fruits</t>
  </si>
  <si>
    <t>EE nagaraniki Movie</t>
  </si>
  <si>
    <t>Angaara- Kothaguda</t>
  </si>
  <si>
    <t>Snacks-Sairanga</t>
  </si>
  <si>
    <t>Biriyani - Pista House POP</t>
  </si>
  <si>
    <t>Tablets</t>
  </si>
  <si>
    <t>Jeera rice</t>
  </si>
  <si>
    <t>Jeera rice - Santosh Dhaba</t>
  </si>
  <si>
    <t>Mehfil</t>
  </si>
  <si>
    <t>AmazonPay balance</t>
  </si>
  <si>
    <t>IRCTC</t>
  </si>
  <si>
    <t>Chenna</t>
  </si>
  <si>
    <t>IRCTC - Refund</t>
  </si>
  <si>
    <t>Gowtham</t>
  </si>
  <si>
    <t>Mehfil - getogether</t>
  </si>
  <si>
    <t>Swathi</t>
  </si>
  <si>
    <t>Sravan + Raja</t>
  </si>
  <si>
    <t>Me + RP + Venky</t>
  </si>
  <si>
    <t>Petrol</t>
  </si>
  <si>
    <t>Biriyani - Delicious</t>
  </si>
  <si>
    <t>RBL - BMS</t>
  </si>
  <si>
    <t>paid back</t>
  </si>
  <si>
    <t>Dosas</t>
  </si>
  <si>
    <t>BurgerKing</t>
  </si>
  <si>
    <t>Kishore TV/OP6 EMI 1</t>
  </si>
  <si>
    <t>RBL-BMS</t>
  </si>
  <si>
    <t>Delicious</t>
  </si>
  <si>
    <t>Kishore TV/OP6 EMI 2</t>
  </si>
  <si>
    <t>Amaozn Pay Balance</t>
  </si>
  <si>
    <t>ShahGhouse Biriyani</t>
  </si>
  <si>
    <t>Kishore TV/OP6 EMI 3</t>
  </si>
  <si>
    <t>Helmet Lock</t>
  </si>
  <si>
    <t>Studds Helmet</t>
  </si>
  <si>
    <t>Petrol - Reward Points</t>
  </si>
  <si>
    <t>Biriyani - Lagan</t>
  </si>
  <si>
    <t>KFC/Tempered Glass</t>
  </si>
  <si>
    <t>Kishore TV/OP6 EMI 4</t>
  </si>
  <si>
    <t>8th floor</t>
  </si>
  <si>
    <t>BK</t>
  </si>
  <si>
    <t>Pan</t>
  </si>
  <si>
    <t>8th Floor snacks</t>
  </si>
  <si>
    <t>8Th Floor Omlet</t>
  </si>
  <si>
    <t>Grape Juice</t>
  </si>
  <si>
    <t>Biriyani - Vasista</t>
  </si>
  <si>
    <t>Swiggy - BK</t>
  </si>
  <si>
    <t>Vasista Biriyani</t>
  </si>
  <si>
    <t>Chicken Pakodi + leg Pieces</t>
  </si>
  <si>
    <t>Kishore TV/OP6 EMI5</t>
  </si>
  <si>
    <t>US Pin Socket</t>
  </si>
  <si>
    <t>RBL BMS Tickets</t>
  </si>
  <si>
    <t>Pista House</t>
  </si>
  <si>
    <t>Fried Rice Lucky Restaurant</t>
  </si>
  <si>
    <t>Night Party - Curd Rice</t>
  </si>
  <si>
    <t>Dominos</t>
  </si>
  <si>
    <t>Blenders Pride</t>
  </si>
  <si>
    <t>Beer</t>
  </si>
  <si>
    <t>RP Ordered Burgers ?</t>
  </si>
  <si>
    <t xml:space="preserve"> </t>
  </si>
  <si>
    <t>chicken manchuria</t>
  </si>
  <si>
    <t xml:space="preserve">boondhi </t>
  </si>
  <si>
    <t>Biriyani rice</t>
  </si>
  <si>
    <t>EMI</t>
  </si>
  <si>
    <t>M 30 1st EMI</t>
  </si>
  <si>
    <t>M 30 2nd EMI</t>
  </si>
  <si>
    <t>M 30 3rd EMI</t>
  </si>
  <si>
    <t>Paytm Txfr</t>
  </si>
  <si>
    <t>Egg fried rice</t>
  </si>
  <si>
    <t>Biriyani Mehfil</t>
  </si>
  <si>
    <t>Frankie</t>
  </si>
  <si>
    <t>Gift - Praveen's Son</t>
  </si>
  <si>
    <t>Swiggy - Frankie</t>
  </si>
  <si>
    <t>Chair</t>
  </si>
  <si>
    <t>Sarvi Takeaway</t>
  </si>
  <si>
    <t>Old Tax</t>
  </si>
  <si>
    <t>New Tax</t>
  </si>
  <si>
    <t>Gross Salary</t>
  </si>
  <si>
    <t>Exiting</t>
  </si>
  <si>
    <t>New</t>
  </si>
  <si>
    <t>Sec80C/Prov Fund</t>
  </si>
  <si>
    <t>0 - 250000</t>
  </si>
  <si>
    <t>80D</t>
  </si>
  <si>
    <t>250001 - 500000</t>
  </si>
  <si>
    <t>NPS</t>
  </si>
  <si>
    <t>500001 - 750000</t>
  </si>
  <si>
    <t>LTA</t>
  </si>
  <si>
    <t>750001 - 1000000</t>
  </si>
  <si>
    <t>HRA</t>
  </si>
  <si>
    <t>1000001 - 1250000</t>
  </si>
  <si>
    <t>Telephone A</t>
  </si>
  <si>
    <t>1250001 - 1500000</t>
  </si>
  <si>
    <t>Vehicle A</t>
  </si>
  <si>
    <t>1,500,000 - 2350000</t>
  </si>
  <si>
    <t>Prof Tax</t>
  </si>
  <si>
    <t>Std Dedu</t>
  </si>
  <si>
    <t>Food Coupons</t>
  </si>
  <si>
    <t>Tax</t>
  </si>
  <si>
    <t>Taxable Income</t>
  </si>
  <si>
    <t>Month</t>
  </si>
  <si>
    <t>Amount</t>
  </si>
  <si>
    <t>Stock</t>
  </si>
  <si>
    <t>Price</t>
  </si>
  <si>
    <t>Qty</t>
  </si>
  <si>
    <t>Invested</t>
  </si>
  <si>
    <t>Cur Price</t>
  </si>
  <si>
    <t>Current Value</t>
  </si>
  <si>
    <t>P&amp;L</t>
  </si>
  <si>
    <t>Order Type</t>
  </si>
  <si>
    <t>YESBANK</t>
  </si>
  <si>
    <t>NIFTYBEES</t>
  </si>
  <si>
    <t>Fed bank</t>
  </si>
  <si>
    <t>RBL Bank</t>
  </si>
  <si>
    <t xml:space="preserve">Total Funded </t>
  </si>
  <si>
    <t>Sold Stocks</t>
  </si>
  <si>
    <t>Today's Funds</t>
  </si>
  <si>
    <t>Invested into Stocks</t>
  </si>
  <si>
    <t>IDEA</t>
  </si>
  <si>
    <t>DLVRY</t>
  </si>
  <si>
    <t>Net Loss</t>
  </si>
  <si>
    <t>YesBank</t>
  </si>
  <si>
    <t>Infratel</t>
  </si>
  <si>
    <t>INTRA</t>
  </si>
  <si>
    <t>ICICIBANK</t>
  </si>
  <si>
    <t>WIPRO</t>
  </si>
  <si>
    <t>INDUSIND</t>
  </si>
  <si>
    <t>Upstox</t>
  </si>
  <si>
    <t>Buy Price</t>
  </si>
  <si>
    <t>Sold Price</t>
  </si>
  <si>
    <t>INDIGO</t>
  </si>
  <si>
    <t>AUROPHARMA</t>
  </si>
  <si>
    <t>s</t>
  </si>
  <si>
    <t>PF Withdrawn</t>
  </si>
  <si>
    <t>Trade Value</t>
  </si>
  <si>
    <t>Sell Price</t>
  </si>
  <si>
    <t>Buy Brokerage</t>
  </si>
  <si>
    <t>Sell Brokerage</t>
  </si>
  <si>
    <t>Profit</t>
  </si>
  <si>
    <t>Earlier Loss</t>
  </si>
  <si>
    <t>ICICI</t>
  </si>
  <si>
    <t>IndusInd</t>
  </si>
  <si>
    <t>L&amp;TFH</t>
  </si>
  <si>
    <t xml:space="preserve">HDFC </t>
  </si>
  <si>
    <t>KB</t>
  </si>
  <si>
    <t>Citi</t>
  </si>
  <si>
    <t>GST</t>
  </si>
  <si>
    <t>SBI</t>
  </si>
  <si>
    <t>RBL</t>
  </si>
  <si>
    <t>CarEMI</t>
  </si>
  <si>
    <t>BajajFlexi</t>
  </si>
  <si>
    <t>Brokerage</t>
  </si>
  <si>
    <t>Total Funded</t>
  </si>
  <si>
    <t>Fund Balance</t>
  </si>
  <si>
    <t>Difference</t>
  </si>
  <si>
    <t>Present Funds</t>
  </si>
  <si>
    <t>Profits</t>
  </si>
  <si>
    <t>Losses</t>
  </si>
  <si>
    <t>Square Offs</t>
  </si>
  <si>
    <t>In Delivery Stocks</t>
  </si>
  <si>
    <t>Stock Name</t>
  </si>
  <si>
    <t>BUY</t>
  </si>
  <si>
    <t>TV</t>
  </si>
  <si>
    <t>SELL</t>
  </si>
  <si>
    <t>Charges</t>
  </si>
  <si>
    <t>CIPLA</t>
  </si>
  <si>
    <t>BALKRIS</t>
  </si>
  <si>
    <t>Op bal</t>
  </si>
  <si>
    <t>MARICO</t>
  </si>
  <si>
    <t>DLVY</t>
  </si>
  <si>
    <t>ITR</t>
  </si>
  <si>
    <t>AshokLey</t>
  </si>
  <si>
    <t>LTP</t>
  </si>
  <si>
    <t>Current</t>
  </si>
  <si>
    <t>AshokLeyland</t>
  </si>
  <si>
    <t>IBULHSGFIN</t>
  </si>
  <si>
    <t>Dlvry Brkrgs</t>
  </si>
  <si>
    <t>JustDial</t>
  </si>
  <si>
    <t>Prv Balance</t>
  </si>
  <si>
    <t>LT</t>
  </si>
  <si>
    <t>MOTHERSUMI</t>
  </si>
  <si>
    <t>Rpower</t>
  </si>
  <si>
    <t>RVNL</t>
  </si>
  <si>
    <t>Ram NZ</t>
  </si>
  <si>
    <t>SBICARD</t>
  </si>
  <si>
    <t>Lent</t>
  </si>
  <si>
    <t>SBIN</t>
  </si>
  <si>
    <t>ZeeLearn</t>
  </si>
  <si>
    <t>Interest for 1L</t>
  </si>
  <si>
    <t>Diff</t>
  </si>
  <si>
    <t>ASHOKLEY</t>
  </si>
  <si>
    <t>Net</t>
  </si>
  <si>
    <t>BALKRISIND</t>
  </si>
  <si>
    <t>ONGC</t>
  </si>
  <si>
    <t>Dividend</t>
  </si>
  <si>
    <t>Zerodha</t>
  </si>
  <si>
    <t>L&amp;T</t>
  </si>
  <si>
    <t>DMART</t>
  </si>
  <si>
    <t>AFFLE</t>
  </si>
  <si>
    <t>INFRATEL</t>
  </si>
  <si>
    <t>IBULHF</t>
  </si>
  <si>
    <t>SBICARDS</t>
  </si>
  <si>
    <t>Type</t>
  </si>
  <si>
    <t>Bank</t>
  </si>
  <si>
    <t>Physical Avbl</t>
  </si>
  <si>
    <t>Credit Cards</t>
  </si>
  <si>
    <t>Amex MR</t>
  </si>
  <si>
    <t>Avbl</t>
  </si>
  <si>
    <t>Amex Platinum</t>
  </si>
  <si>
    <t>Axis</t>
  </si>
  <si>
    <t>Missing</t>
  </si>
  <si>
    <t>HDFC</t>
  </si>
  <si>
    <t>Kotak</t>
  </si>
  <si>
    <t>SBI Simply Click</t>
  </si>
  <si>
    <t>SBI Simply Save</t>
  </si>
  <si>
    <t>SBI TATA</t>
  </si>
  <si>
    <t>Debit Cards</t>
  </si>
  <si>
    <t>Closed</t>
  </si>
  <si>
    <t>UB</t>
  </si>
  <si>
    <t>Deductions</t>
  </si>
  <si>
    <t>Due Date</t>
  </si>
  <si>
    <t>Pending</t>
  </si>
  <si>
    <t>CC</t>
  </si>
  <si>
    <t>CC - Axis</t>
  </si>
  <si>
    <t>CC - ICICI - Amazon</t>
  </si>
  <si>
    <t>CC - TATA</t>
  </si>
  <si>
    <t>SBI Home Loan</t>
  </si>
  <si>
    <t>HL-EMI</t>
  </si>
  <si>
    <t>SBI Home Loan Insurance</t>
  </si>
  <si>
    <t>ICICI PL 2/Axis PL</t>
  </si>
  <si>
    <t>PL-EMI</t>
  </si>
  <si>
    <t>Amazon Paylater</t>
  </si>
  <si>
    <t>-</t>
  </si>
  <si>
    <t>Apt Maintenance C 204</t>
  </si>
  <si>
    <t>Bajaj fin Interest EMI</t>
  </si>
  <si>
    <t>Car Cleaning</t>
  </si>
  <si>
    <t>HDFC Life Insurance (24-Mar)</t>
  </si>
  <si>
    <t>Ramu OP9 EMI</t>
  </si>
  <si>
    <t>Household (Milk, ElecBill)</t>
  </si>
  <si>
    <t>Total transaction</t>
  </si>
  <si>
    <t>Internet (Flat)</t>
  </si>
  <si>
    <t>Number of EMIs</t>
  </si>
  <si>
    <t>LIC Bhargavi (Yearly 12-May &amp; 28-Sep)</t>
  </si>
  <si>
    <t>EMI #</t>
  </si>
  <si>
    <t>Principal</t>
  </si>
  <si>
    <t>Maid</t>
  </si>
  <si>
    <t>1 (Oct)</t>
  </si>
  <si>
    <t>My LIC</t>
  </si>
  <si>
    <t>2 (Nov)</t>
  </si>
  <si>
    <t>Nonu Term Fee (16568 * 3)</t>
  </si>
  <si>
    <t>3 (Dec)</t>
  </si>
  <si>
    <t>Nonu-ChildPlan (June) thru Card</t>
  </si>
  <si>
    <t>4 (Jan)</t>
  </si>
  <si>
    <t>NPS Contribution - 30k - Before Feb</t>
  </si>
  <si>
    <t>5 (Feb)</t>
  </si>
  <si>
    <t>Pedhamma</t>
  </si>
  <si>
    <t>6 (Mar)</t>
  </si>
  <si>
    <t>Maavayya (Debt of Gold Loan)</t>
  </si>
  <si>
    <t>Reliance Jewels Scheme</t>
  </si>
  <si>
    <t>Proc Fee</t>
  </si>
  <si>
    <t>Ruthu Term Fee (39000)</t>
  </si>
  <si>
    <t>Ruthvi (Child Plan) (March 20) thru Card</t>
  </si>
  <si>
    <t>Bal</t>
  </si>
  <si>
    <t>SBI Policies (3) (19-Feb) - 299183 - thru Card</t>
  </si>
  <si>
    <t>To Mom (5K)</t>
  </si>
  <si>
    <t>ClubMahindra AMC</t>
  </si>
  <si>
    <t>Gold Loan 1 Divakar</t>
  </si>
  <si>
    <t>Gold Loan 2 Divakar</t>
  </si>
  <si>
    <t>Gold Loan 3 Bhargavi</t>
  </si>
  <si>
    <t>Gold Loan 4 Bhargavi</t>
  </si>
  <si>
    <t>Incomings</t>
  </si>
  <si>
    <t>Salary/WithMe</t>
  </si>
  <si>
    <t>Baava BZA</t>
  </si>
  <si>
    <t>Vijay Interest</t>
  </si>
  <si>
    <t>Baava ELR</t>
  </si>
  <si>
    <t>Ramu</t>
  </si>
  <si>
    <t>Balances</t>
  </si>
  <si>
    <t>Nithin</t>
  </si>
  <si>
    <r>
      <rPr>
        <b/>
        <sz val="10"/>
        <color rgb="FFFF0000"/>
        <rFont val="Calibri"/>
        <family val="2"/>
        <scheme val="minor"/>
      </rPr>
      <t>Deficit</t>
    </r>
    <r>
      <rPr>
        <b/>
        <sz val="10"/>
        <color theme="1"/>
        <rFont val="Calibri"/>
        <family val="2"/>
        <scheme val="minor"/>
      </rPr>
      <t>/Excess</t>
    </r>
  </si>
  <si>
    <t>Principal Outstanding</t>
  </si>
  <si>
    <t>Remaing Tenure</t>
  </si>
  <si>
    <t>Interest Rate</t>
  </si>
  <si>
    <t>Foreclosure amt</t>
  </si>
  <si>
    <t>Baava Txns</t>
  </si>
  <si>
    <t>Citi CC Loan</t>
  </si>
  <si>
    <t>CC Payment</t>
  </si>
  <si>
    <t>Flight ticket</t>
  </si>
  <si>
    <t>SBI CC Loan</t>
  </si>
  <si>
    <t>Took Back</t>
  </si>
  <si>
    <t>Kotak PL</t>
  </si>
  <si>
    <t>Ravi TV EMIs</t>
  </si>
  <si>
    <t>Old Dues</t>
  </si>
  <si>
    <t>Adjusted in 2Lakhs</t>
  </si>
  <si>
    <t>ATM Trans</t>
  </si>
  <si>
    <t>ICICI CC PL</t>
  </si>
  <si>
    <t>Ramu OP95g</t>
  </si>
  <si>
    <t>Nokia TV</t>
  </si>
  <si>
    <t>Paid back - 5/17/15</t>
  </si>
  <si>
    <t>Online txfr</t>
  </si>
  <si>
    <t>Paid back - 4/28/16</t>
  </si>
  <si>
    <t>EMI 1</t>
  </si>
  <si>
    <t>Paid back - 5/23/18</t>
  </si>
  <si>
    <t>By Hand</t>
  </si>
  <si>
    <t>EMI 2</t>
  </si>
  <si>
    <t>100s</t>
  </si>
  <si>
    <t>EMI 3</t>
  </si>
  <si>
    <t>EMI 4</t>
  </si>
  <si>
    <t>Flight tickets</t>
  </si>
  <si>
    <t>EMI 5</t>
  </si>
  <si>
    <t>EMI 6</t>
  </si>
  <si>
    <t>Paid on 12/20</t>
  </si>
  <si>
    <t>Apt Water works</t>
  </si>
  <si>
    <t>Paid on 5/24</t>
  </si>
  <si>
    <t>8 Flats</t>
  </si>
  <si>
    <t>Paid on 7/13</t>
  </si>
  <si>
    <t>Plumber charges</t>
  </si>
  <si>
    <t>Paid on 10/6</t>
  </si>
  <si>
    <t>Paid to GHMC</t>
  </si>
  <si>
    <t>Paid on 4/11</t>
  </si>
  <si>
    <t>Labour charges to GHMC workers</t>
  </si>
  <si>
    <t>Water tank leakage repairs + Cement enclosure for Meter + labour charges + lock for enclosure</t>
  </si>
  <si>
    <t>Flipkart</t>
  </si>
  <si>
    <t>Application Fee</t>
  </si>
  <si>
    <t>Sec 80C</t>
  </si>
  <si>
    <t>80CCD</t>
  </si>
  <si>
    <t>Telephone All</t>
  </si>
  <si>
    <t>Vehicle All</t>
  </si>
  <si>
    <t>Loss on Property</t>
  </si>
  <si>
    <t>CC - AMEX</t>
  </si>
  <si>
    <t>Due</t>
  </si>
  <si>
    <t>CC - AMEX MR</t>
  </si>
  <si>
    <t>iPhone</t>
  </si>
  <si>
    <t>CC - Citi</t>
  </si>
  <si>
    <t>CC - SBI Click</t>
  </si>
  <si>
    <t>1,2</t>
  </si>
  <si>
    <t>ICICI PL 2</t>
  </si>
  <si>
    <t>Ravi</t>
  </si>
  <si>
    <t xml:space="preserve">Gold Loan 1 </t>
  </si>
  <si>
    <t>Gold Loan 2</t>
  </si>
  <si>
    <t>Gold Loan 3</t>
  </si>
  <si>
    <t>Gold Loan 4</t>
  </si>
  <si>
    <t>Gold Loan 5</t>
  </si>
  <si>
    <t>Jupiter</t>
  </si>
  <si>
    <t>UnionBank</t>
  </si>
  <si>
    <t>Interest in FY</t>
  </si>
  <si>
    <t>Quarter</t>
  </si>
  <si>
    <t>2016-2017</t>
  </si>
  <si>
    <t>2017-2018</t>
  </si>
  <si>
    <t>2018-2019</t>
  </si>
  <si>
    <t>2019-2020</t>
  </si>
  <si>
    <t>2020-2021</t>
  </si>
  <si>
    <t>2021-2022</t>
  </si>
  <si>
    <t>2022-2023</t>
  </si>
  <si>
    <t>2023-2024</t>
  </si>
  <si>
    <t>Q1 - June</t>
  </si>
  <si>
    <t>Q2 - Sep</t>
  </si>
  <si>
    <t>Q3 - Dec</t>
  </si>
  <si>
    <t>Q4 - Mar</t>
  </si>
  <si>
    <t>Kotak
Bhargu</t>
  </si>
  <si>
    <t>YES BANK KB NONU</t>
  </si>
  <si>
    <t>Kotak Divi</t>
  </si>
  <si>
    <t>AndhraBank</t>
  </si>
  <si>
    <t>AndhraBank
Bhargu</t>
  </si>
  <si>
    <t>SBI/SBH</t>
  </si>
  <si>
    <t>Calculated Avg</t>
  </si>
  <si>
    <t>Required Avg</t>
  </si>
  <si>
    <t>YES BANK
Self/Jupiter</t>
  </si>
  <si>
    <t>Credited</t>
  </si>
  <si>
    <t>BajajFin</t>
  </si>
  <si>
    <t>TataCC</t>
  </si>
  <si>
    <t>AxisCC</t>
  </si>
  <si>
    <t>ICICI CC</t>
  </si>
  <si>
    <t>AmexMRCC</t>
  </si>
  <si>
    <t>Name on Card</t>
  </si>
  <si>
    <t>Card#</t>
  </si>
  <si>
    <t>Issue</t>
  </si>
  <si>
    <t>Expiry</t>
  </si>
  <si>
    <t>CVV</t>
  </si>
  <si>
    <t>Fees</t>
  </si>
  <si>
    <t>Statement Date</t>
  </si>
  <si>
    <t>Reward
Points</t>
  </si>
  <si>
    <t>Total Limit</t>
  </si>
  <si>
    <t>Available</t>
  </si>
  <si>
    <t>5-10% Limit
Threshold</t>
  </si>
  <si>
    <t>Used Limit</t>
  </si>
  <si>
    <t>Actual Due</t>
  </si>
  <si>
    <t>Updated
On</t>
  </si>
  <si>
    <t>in EMIs /
Unbilled</t>
  </si>
  <si>
    <t>Pending EMIs (Count)</t>
  </si>
  <si>
    <t>EMI Value</t>
  </si>
  <si>
    <t>Total Principal</t>
  </si>
  <si>
    <t>Bal Principal</t>
  </si>
  <si>
    <t>Foreclosure</t>
  </si>
  <si>
    <t>Divakar Kadupu</t>
  </si>
  <si>
    <t>5334 6700 0567 5737</t>
  </si>
  <si>
    <t>02/2020</t>
  </si>
  <si>
    <t>01/2025</t>
  </si>
  <si>
    <t>Unbilled</t>
  </si>
  <si>
    <t>ICICI New Card</t>
  </si>
  <si>
    <t>4748 XXXX XXXX XX03</t>
  </si>
  <si>
    <t>03/28</t>
  </si>
  <si>
    <t>Mattress</t>
  </si>
  <si>
    <t>ICICI AMZ CC</t>
  </si>
  <si>
    <t>4315 8100 2555 7004</t>
  </si>
  <si>
    <t>01/19</t>
  </si>
  <si>
    <t>01/30</t>
  </si>
  <si>
    <t>Kotak PVR INOX</t>
  </si>
  <si>
    <t>4727 3935 2004 5371</t>
  </si>
  <si>
    <t>11/28</t>
  </si>
  <si>
    <t>Nonu Fee</t>
  </si>
  <si>
    <t>TATA Card</t>
  </si>
  <si>
    <t>K Divakar</t>
  </si>
  <si>
    <t>5242 4793 0402 6472</t>
  </si>
  <si>
    <t>07/17</t>
  </si>
  <si>
    <t>07/27</t>
  </si>
  <si>
    <t>499+GST</t>
  </si>
  <si>
    <t>Dominar Tyres</t>
  </si>
  <si>
    <t>ADB DC</t>
  </si>
  <si>
    <t>4617 6586 0146 5117</t>
  </si>
  <si>
    <t>02/30</t>
  </si>
  <si>
    <t>Fuel</t>
  </si>
  <si>
    <t>ICICI DC</t>
  </si>
  <si>
    <t>5166 4000 3902 6811</t>
  </si>
  <si>
    <t>05/20</t>
  </si>
  <si>
    <t>04/27</t>
  </si>
  <si>
    <t>Airtel Recharge</t>
  </si>
  <si>
    <t>Jupiter DC</t>
  </si>
  <si>
    <t>44819800 3655 3801</t>
  </si>
  <si>
    <t>02/28</t>
  </si>
  <si>
    <t>Car Service</t>
  </si>
  <si>
    <t>SBH DC</t>
  </si>
  <si>
    <t>Divakar K</t>
  </si>
  <si>
    <t>4591 1503 6078 7741</t>
  </si>
  <si>
    <t>11/23</t>
  </si>
  <si>
    <t>Tot Due (CCs)</t>
  </si>
  <si>
    <t>ICICI DC
GRID</t>
  </si>
  <si>
    <t>A-28 B-33 C-99 D-92 E-84 F-01 G-27 H-42
I-50 J-75 K-77 L-03 M-00 N-26 O-96 P-29</t>
  </si>
  <si>
    <t>Usage of all CCs - Threshold</t>
  </si>
  <si>
    <t>Amex - EMIs</t>
  </si>
  <si>
    <t>Actual Dues</t>
  </si>
  <si>
    <t>Axis Card Cashback</t>
  </si>
  <si>
    <t>Debit Card PINs</t>
  </si>
  <si>
    <t>Andhrabank</t>
  </si>
  <si>
    <t>EMIs running on Credit Cards</t>
  </si>
  <si>
    <t>Card</t>
  </si>
  <si>
    <t>Booking Month</t>
  </si>
  <si>
    <t>Tenure</t>
  </si>
  <si>
    <t>Balance Tenure</t>
  </si>
  <si>
    <t>Completion Month</t>
  </si>
  <si>
    <t>TataCard</t>
  </si>
  <si>
    <t>SBICard</t>
  </si>
  <si>
    <t>ICICICard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</si>
  <si>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</si>
  <si>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</si>
  <si>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</si>
  <si>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</si>
  <si>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</si>
  <si>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</si>
  <si>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</si>
  <si>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</si>
  <si>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</si>
  <si>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</si>
  <si>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</si>
  <si>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</si>
  <si>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Current Limit</t>
  </si>
  <si>
    <t>With Siva</t>
  </si>
  <si>
    <t>In Stocks</t>
  </si>
  <si>
    <t>Thru</t>
  </si>
  <si>
    <t>Tolls</t>
  </si>
  <si>
    <t>TATA CD</t>
  </si>
  <si>
    <t>CROCS</t>
  </si>
  <si>
    <t>GHMC</t>
  </si>
  <si>
    <t>Lifestyle</t>
  </si>
  <si>
    <t>Geetha Mullapudi</t>
  </si>
  <si>
    <t>Property Tax</t>
  </si>
  <si>
    <t>Garapati Petrol &amp; Diesel</t>
  </si>
  <si>
    <t>Credited by txfr - 29/4</t>
  </si>
  <si>
    <t>Nath Service Center</t>
  </si>
  <si>
    <t>Credited by txfr - 12/5</t>
  </si>
  <si>
    <t>MedPlus</t>
  </si>
  <si>
    <t>Payment - 17/5 AC</t>
  </si>
  <si>
    <t>Medplus</t>
  </si>
  <si>
    <t>Credited by txfr - 21/5</t>
  </si>
  <si>
    <t>BPCL DOREPALLY</t>
  </si>
  <si>
    <t>Credited by txfr - 3/6</t>
  </si>
  <si>
    <t>7 Midway Plaza</t>
  </si>
  <si>
    <t>Airtel</t>
  </si>
  <si>
    <t>Tolls Upto 27/5</t>
  </si>
  <si>
    <t>Pulse Heart</t>
  </si>
  <si>
    <t>Chandra Sekar rao - Car</t>
  </si>
  <si>
    <t>Transferred by Sandhya</t>
  </si>
  <si>
    <t>Lakshmi Manikanta</t>
  </si>
  <si>
    <t>Sandhya Shopping Bhargavi</t>
  </si>
  <si>
    <t>NAVBhargava</t>
  </si>
  <si>
    <t>PhonePe Txfr</t>
  </si>
  <si>
    <t>My transaction on tata card</t>
  </si>
  <si>
    <t>PhonePe Txfr 6/10</t>
  </si>
  <si>
    <t>Total used</t>
  </si>
  <si>
    <t>PhonePe Txfr 6/14</t>
  </si>
  <si>
    <t>Narendra</t>
  </si>
  <si>
    <t>LIFESTYLE</t>
  </si>
  <si>
    <t>Airtel Bill - Narendra - May</t>
  </si>
  <si>
    <t>Mufti</t>
  </si>
  <si>
    <t>Noodle House - Airport</t>
  </si>
  <si>
    <t>Tata Card Usage</t>
  </si>
  <si>
    <t>ESHITA Hotels</t>
  </si>
  <si>
    <t>Damensh</t>
  </si>
  <si>
    <t xml:space="preserve">Subbayya </t>
  </si>
  <si>
    <t>Optival health</t>
  </si>
  <si>
    <t>Vellanki</t>
  </si>
  <si>
    <t>Saritha Healthcare</t>
  </si>
  <si>
    <t>R SATYANARAYANA CO NIDADAVOLE IND</t>
  </si>
  <si>
    <t>SUNFOOD</t>
  </si>
  <si>
    <t>NALAM APPALARAJU</t>
  </si>
  <si>
    <t>For</t>
  </si>
  <si>
    <t>At</t>
  </si>
  <si>
    <t>Mode</t>
  </si>
  <si>
    <t>Name</t>
  </si>
  <si>
    <t>Kept Aside</t>
  </si>
  <si>
    <t>Eligible</t>
  </si>
  <si>
    <t>PUSEY S</t>
  </si>
  <si>
    <t>LA</t>
  </si>
  <si>
    <t>Self</t>
  </si>
  <si>
    <t>Starbucks</t>
  </si>
  <si>
    <t>Phoenix</t>
  </si>
  <si>
    <t>Walmart</t>
  </si>
  <si>
    <t>TJMax</t>
  </si>
  <si>
    <t>Daawat</t>
  </si>
  <si>
    <t>Other</t>
  </si>
  <si>
    <t>Carlos</t>
  </si>
  <si>
    <t>USAA</t>
  </si>
  <si>
    <t>Dollar Tree</t>
  </si>
  <si>
    <t>PF Chang</t>
  </si>
  <si>
    <t>CASA</t>
  </si>
  <si>
    <t>LGO Market</t>
  </si>
  <si>
    <t>Chick-fil-A</t>
  </si>
  <si>
    <t>Peet's Coffee</t>
  </si>
  <si>
    <t>Phoenix to Dallas to SAT</t>
  </si>
  <si>
    <t>Ticket</t>
  </si>
  <si>
    <t>India Bazaar</t>
  </si>
  <si>
    <t>Dallas</t>
  </si>
  <si>
    <t>Desi Chowrastha</t>
  </si>
  <si>
    <t>Akshaya</t>
  </si>
  <si>
    <t>Desi District</t>
  </si>
  <si>
    <t>Panda Express</t>
  </si>
  <si>
    <t>Sam's Club</t>
  </si>
  <si>
    <t>Target</t>
  </si>
  <si>
    <t>Subzi Mandi</t>
  </si>
  <si>
    <t>Hudson</t>
  </si>
  <si>
    <t>SAT</t>
  </si>
  <si>
    <t>Cava</t>
  </si>
  <si>
    <t>SAT to Dallas</t>
  </si>
  <si>
    <t>SIP &amp; Brew</t>
  </si>
  <si>
    <t>Jason's Deli</t>
  </si>
  <si>
    <t>Whataburger</t>
  </si>
  <si>
    <t>Nare</t>
  </si>
  <si>
    <t>Costco</t>
  </si>
  <si>
    <t>Soul Foods</t>
  </si>
  <si>
    <t>Swadeshi</t>
  </si>
  <si>
    <t>Farm2Cook</t>
  </si>
  <si>
    <t>Michael Kors</t>
  </si>
  <si>
    <t>Northface</t>
  </si>
  <si>
    <t>Braum's</t>
  </si>
  <si>
    <t>Lowe's</t>
  </si>
  <si>
    <t>Kroger</t>
  </si>
  <si>
    <t>Fun Pizza Kitchen</t>
  </si>
  <si>
    <t>Patel bros</t>
  </si>
  <si>
    <t>Bawarchi</t>
  </si>
  <si>
    <t>Mesero</t>
  </si>
  <si>
    <t>MegaBus</t>
  </si>
  <si>
    <t>Fuel City</t>
  </si>
  <si>
    <t>Chipotle</t>
  </si>
  <si>
    <t>Ritas</t>
  </si>
  <si>
    <t>DAL</t>
  </si>
  <si>
    <t>SAI Gayatri</t>
  </si>
  <si>
    <t>Chelli</t>
  </si>
  <si>
    <t>Baava</t>
  </si>
  <si>
    <t>Forex Card</t>
  </si>
  <si>
    <t>Megabus</t>
  </si>
  <si>
    <t>Funded</t>
  </si>
  <si>
    <t>CeraVe</t>
  </si>
  <si>
    <t>Cur Bal</t>
  </si>
  <si>
    <t>BurtsBee</t>
  </si>
  <si>
    <t>Used</t>
  </si>
  <si>
    <t>BurtsBee (Walmart)</t>
  </si>
  <si>
    <t>Total Spent</t>
  </si>
  <si>
    <t>Flights</t>
  </si>
  <si>
    <t>1/19 - 1/21</t>
  </si>
  <si>
    <t>Bus</t>
  </si>
  <si>
    <t>Cab</t>
  </si>
  <si>
    <t>Hotel (SAT)</t>
  </si>
  <si>
    <t>Food</t>
  </si>
  <si>
    <t>Hotel (Plano)</t>
  </si>
  <si>
    <t>2/22 - 2/24</t>
  </si>
  <si>
    <t>1/26 - 2/9</t>
  </si>
  <si>
    <t>Shop</t>
  </si>
  <si>
    <t>Centro</t>
  </si>
  <si>
    <t>Shoe+Sole</t>
  </si>
  <si>
    <t>Westside</t>
  </si>
  <si>
    <t>Kids-Clothes</t>
  </si>
  <si>
    <t>Inners</t>
  </si>
  <si>
    <t>Trident</t>
  </si>
  <si>
    <t>Bedding</t>
  </si>
  <si>
    <t>5 Miles</t>
  </si>
  <si>
    <t>Ruthu-footwear</t>
  </si>
  <si>
    <t>AA Clothing</t>
  </si>
  <si>
    <t>Protoes</t>
  </si>
  <si>
    <t>Bags + Bottle</t>
  </si>
  <si>
    <t>Bhargavi</t>
  </si>
  <si>
    <t>On Name</t>
  </si>
  <si>
    <t>Loan Amount</t>
  </si>
  <si>
    <t>Monthly Interest</t>
  </si>
  <si>
    <t>GL 196</t>
  </si>
  <si>
    <t>GL 021</t>
  </si>
  <si>
    <t>GL 197</t>
  </si>
  <si>
    <t>GL 195</t>
  </si>
  <si>
    <t>Div UB to Div ICICI</t>
  </si>
  <si>
    <t>RTGS</t>
  </si>
  <si>
    <t>Bhargavi UB to Div ICICI</t>
  </si>
  <si>
    <t>NEFT</t>
  </si>
  <si>
    <t>Bhargavi Gundavarapu</t>
  </si>
  <si>
    <t>Div Jupiter to Div ICICI</t>
  </si>
  <si>
    <t>GSRam SBI to Div ICICI (Cheque)</t>
  </si>
  <si>
    <t>Cheque</t>
  </si>
  <si>
    <t>GSRam</t>
  </si>
  <si>
    <t>Bhargavi UB to Div ICICI (Cheque)</t>
  </si>
  <si>
    <t>Saroja SBI to Div ICICI (Cheque)</t>
  </si>
  <si>
    <t>HDFC PL</t>
  </si>
  <si>
    <t>WestBrook Down payment</t>
  </si>
  <si>
    <t>With Bhargavi UB acc</t>
  </si>
  <si>
    <t>WestBrook GST Payment</t>
  </si>
  <si>
    <t>"237916630000021"</t>
  </si>
  <si>
    <t>Repaid</t>
  </si>
  <si>
    <t>Int Added</t>
  </si>
  <si>
    <t>Closing Principal</t>
  </si>
  <si>
    <t>"237916540000196"</t>
  </si>
  <si>
    <t>Amex</t>
  </si>
  <si>
    <t>TATA</t>
  </si>
  <si>
    <t>Number</t>
  </si>
  <si>
    <t>ROI</t>
  </si>
  <si>
    <t>Total EMIs</t>
  </si>
  <si>
    <t>Completed EMIs</t>
  </si>
  <si>
    <t>Rem EMIs</t>
  </si>
  <si>
    <t>Prinicpal</t>
  </si>
  <si>
    <t>EMI Amt</t>
  </si>
  <si>
    <t>ForeClose</t>
  </si>
  <si>
    <t>FY 2010-2011</t>
  </si>
  <si>
    <t>Total Invested</t>
  </si>
  <si>
    <t>Partial Withdrawals</t>
  </si>
  <si>
    <t>Units-I</t>
  </si>
  <si>
    <t>NAV</t>
  </si>
  <si>
    <t>Today's Value</t>
  </si>
  <si>
    <t>Units-II</t>
  </si>
  <si>
    <t>FY 2011-2012</t>
  </si>
  <si>
    <t>FY 2012-2013</t>
  </si>
  <si>
    <t>FY 2013-2014</t>
  </si>
  <si>
    <t>First premium @200%</t>
  </si>
  <si>
    <t>FY 2014-2015</t>
  </si>
  <si>
    <t>Present Fund Value</t>
  </si>
  <si>
    <t>FY 2015-2016</t>
  </si>
  <si>
    <t>Investement with Kotak</t>
  </si>
  <si>
    <t>FY 2016-2017</t>
  </si>
  <si>
    <t>FY 2017-2018</t>
  </si>
  <si>
    <t>Overall Gain/Loss</t>
  </si>
  <si>
    <t>FY 2018-2019</t>
  </si>
  <si>
    <t>Total Units</t>
  </si>
  <si>
    <t>FY 2019-2020</t>
  </si>
  <si>
    <t>FY 2020-2021</t>
  </si>
  <si>
    <t>Net Fund Value</t>
  </si>
  <si>
    <t>FY 2021-2022</t>
  </si>
  <si>
    <t>FY 2022-2023</t>
  </si>
  <si>
    <t xml:space="preserve">NAV </t>
  </si>
  <si>
    <t>Lost due to Partial Withdrawal</t>
  </si>
  <si>
    <t>FY 2023-2024</t>
  </si>
  <si>
    <t>FY 2024-2025</t>
  </si>
  <si>
    <t>FY 2025-2026</t>
  </si>
  <si>
    <t>FY 2026-2027</t>
  </si>
  <si>
    <t>FY 2027-2028</t>
  </si>
  <si>
    <t>FY 2028-2029</t>
  </si>
  <si>
    <t>FY 2029-2030</t>
  </si>
  <si>
    <t>Likhith</t>
  </si>
  <si>
    <t>Ruthvika</t>
  </si>
  <si>
    <t>July'17 to Mar'18</t>
  </si>
  <si>
    <t>Gifts</t>
  </si>
  <si>
    <t>Monthly Pocket Money till August 2020</t>
  </si>
  <si>
    <t>Fridge 8k</t>
  </si>
  <si>
    <t>CradleFunction-Gifts</t>
  </si>
  <si>
    <t>Ugadi (14.5)</t>
  </si>
  <si>
    <t>Round OFF the Gifts</t>
  </si>
  <si>
    <t>Cups + Cab</t>
  </si>
  <si>
    <t>Insurance</t>
  </si>
  <si>
    <t>Dresses-Money</t>
  </si>
  <si>
    <t>Kaulu Money</t>
  </si>
  <si>
    <t>Divi</t>
  </si>
  <si>
    <t>Nonu</t>
  </si>
  <si>
    <t>Bday-Gifts (both Thaathaas)</t>
  </si>
  <si>
    <t>Thaatha Gift (Nageswara Rao)</t>
  </si>
  <si>
    <t>Annaprasanam - Phani</t>
  </si>
  <si>
    <t>June 22nd Grandpa Gift</t>
  </si>
  <si>
    <t>Maavayya</t>
  </si>
  <si>
    <t>Sofa</t>
  </si>
  <si>
    <t>Ganesh Chaturdi Gifts - Thaatha</t>
  </si>
  <si>
    <t>Chailu</t>
  </si>
  <si>
    <t>Sankranthi - Clothes</t>
  </si>
  <si>
    <t>CRDA</t>
  </si>
  <si>
    <t>Tulasi</t>
  </si>
  <si>
    <t>Ugadi Gift - Nonu</t>
  </si>
  <si>
    <t>Birthday 6/22 6/23</t>
  </si>
  <si>
    <t>Monthly Pocket Money till Aug 2020</t>
  </si>
  <si>
    <t>Birthday 6/30</t>
  </si>
  <si>
    <t>Nonu Cash Feb 2020</t>
  </si>
  <si>
    <t>Bharti-Axa</t>
  </si>
  <si>
    <t>With me - Wallet</t>
  </si>
  <si>
    <t xml:space="preserve">Bank Account </t>
  </si>
  <si>
    <t>Dep to icici</t>
  </si>
  <si>
    <t>SSY Acc</t>
  </si>
  <si>
    <t>Clear Tax</t>
  </si>
  <si>
    <t>ClearTax</t>
  </si>
  <si>
    <t>35 Lakhs</t>
  </si>
  <si>
    <t>Dep to ICICI</t>
  </si>
  <si>
    <t>Jasri Gift - taken from 35L</t>
  </si>
  <si>
    <t>my Kotak</t>
  </si>
  <si>
    <t>Took</t>
  </si>
  <si>
    <t>Dep via Dad</t>
  </si>
  <si>
    <t>DrawDown Limit</t>
  </si>
  <si>
    <t>EMIs</t>
  </si>
  <si>
    <t>Guru/RamNZ</t>
  </si>
  <si>
    <t>Bhaskar</t>
  </si>
  <si>
    <t>Utilised</t>
  </si>
  <si>
    <t>June</t>
  </si>
  <si>
    <t>Bajaj Temp</t>
  </si>
  <si>
    <t>July</t>
  </si>
  <si>
    <t>Per Year</t>
  </si>
  <si>
    <t>Percentage 80%</t>
  </si>
  <si>
    <t>August</t>
  </si>
  <si>
    <t>Per Month</t>
  </si>
  <si>
    <t>Remaining</t>
  </si>
  <si>
    <t>September</t>
  </si>
  <si>
    <t>Per Day</t>
  </si>
  <si>
    <t>October</t>
  </si>
  <si>
    <t>November</t>
  </si>
  <si>
    <t>Days</t>
  </si>
  <si>
    <t>December</t>
  </si>
  <si>
    <t>January</t>
  </si>
  <si>
    <t>February</t>
  </si>
  <si>
    <t>March</t>
  </si>
  <si>
    <t>April</t>
  </si>
  <si>
    <t>Vijay</t>
  </si>
  <si>
    <t>Eluru Baava</t>
  </si>
  <si>
    <t>Masna</t>
  </si>
  <si>
    <t>Kishore Anil</t>
  </si>
  <si>
    <t>Returned On</t>
  </si>
  <si>
    <t>Duration</t>
  </si>
  <si>
    <t>Calculated Int</t>
  </si>
  <si>
    <t>Growth</t>
  </si>
  <si>
    <t>in %</t>
  </si>
  <si>
    <t>My Share (9L)</t>
  </si>
  <si>
    <t>Dad's Share (6.2L)</t>
  </si>
  <si>
    <t>Actual Paid</t>
  </si>
  <si>
    <t>Father</t>
  </si>
  <si>
    <t>Balance Interest</t>
  </si>
  <si>
    <t>Gpay</t>
  </si>
  <si>
    <t>PhonePe</t>
  </si>
  <si>
    <t>None</t>
  </si>
  <si>
    <t>Saved Interest</t>
  </si>
  <si>
    <t>Proc. Fee</t>
  </si>
  <si>
    <t>Angel</t>
  </si>
  <si>
    <r>
      <rPr>
        <b/>
        <sz val="10"/>
        <color theme="9" tint="-0.249977111117893"/>
        <rFont val="Calibri"/>
        <family val="2"/>
        <scheme val="minor"/>
      </rPr>
      <t>Profit</t>
    </r>
    <r>
      <rPr>
        <b/>
        <sz val="10"/>
        <color theme="1"/>
        <rFont val="Calibri"/>
        <family val="2"/>
        <scheme val="minor"/>
      </rPr>
      <t>/Loss</t>
    </r>
  </si>
  <si>
    <t>Diff/Gain From prev day</t>
  </si>
  <si>
    <t>Brokerages</t>
  </si>
  <si>
    <t>Cur Portf. Value</t>
  </si>
  <si>
    <t>Total Withdrawn</t>
  </si>
  <si>
    <t>Funds</t>
  </si>
  <si>
    <t>Current Investment Value</t>
  </si>
  <si>
    <t>Trades</t>
  </si>
  <si>
    <t>Today's Trade</t>
  </si>
  <si>
    <t>Dividends</t>
  </si>
  <si>
    <t>Balance/Loss till date</t>
  </si>
  <si>
    <t>Deposited</t>
  </si>
  <si>
    <t>Delivery</t>
  </si>
  <si>
    <t>Options</t>
  </si>
  <si>
    <t>Loss</t>
  </si>
  <si>
    <t>AARTIDrugs</t>
  </si>
  <si>
    <t>MANIND</t>
  </si>
  <si>
    <t>SRT</t>
  </si>
  <si>
    <t>Dividends so far</t>
  </si>
  <si>
    <t>IND</t>
  </si>
  <si>
    <t>HUL</t>
  </si>
  <si>
    <t>ITC</t>
  </si>
  <si>
    <t>IOLCP</t>
  </si>
  <si>
    <t>Laurus</t>
  </si>
  <si>
    <t>Aarti</t>
  </si>
  <si>
    <t>MothersonSUMI</t>
  </si>
  <si>
    <t>Cred Cashbacks</t>
  </si>
  <si>
    <t>Totals</t>
  </si>
  <si>
    <t>Statement Generated Month</t>
  </si>
  <si>
    <t>ICICI AMZ</t>
  </si>
  <si>
    <t>Axis Card</t>
  </si>
  <si>
    <t>Bhargavi-Old</t>
  </si>
  <si>
    <t>Detail</t>
  </si>
  <si>
    <t>Receivables</t>
  </si>
  <si>
    <t>Sq. Ft Cost</t>
  </si>
  <si>
    <t>Vijay Bhaskar</t>
  </si>
  <si>
    <t>Total Sq. Ft</t>
  </si>
  <si>
    <t>Flat Cost</t>
  </si>
  <si>
    <t>White Value</t>
  </si>
  <si>
    <t>SBI Life</t>
  </si>
  <si>
    <t>Naresh</t>
  </si>
  <si>
    <t>Reg. Charges</t>
  </si>
  <si>
    <t>Flat total cost</t>
  </si>
  <si>
    <t>Adv</t>
  </si>
  <si>
    <t>Loan</t>
  </si>
  <si>
    <t>Black Adv</t>
  </si>
  <si>
    <t>Remaining black from Mavayya</t>
  </si>
  <si>
    <t>Amt from Land sold</t>
  </si>
  <si>
    <t>Balance for Flat + Reg Charges</t>
  </si>
  <si>
    <t>Lend 5L to Phani</t>
  </si>
  <si>
    <t>For Reg Charges</t>
  </si>
  <si>
    <t>Total Land Amt</t>
  </si>
  <si>
    <t>Remaining balance from Land Amt</t>
  </si>
  <si>
    <t>In Cash@Home</t>
  </si>
  <si>
    <t>Land Amt</t>
  </si>
  <si>
    <t>Phani</t>
  </si>
  <si>
    <t>Flat + Reg. Charges</t>
  </si>
  <si>
    <t>Final Balance/Shortage</t>
  </si>
  <si>
    <t>Bajaj PL 1</t>
  </si>
  <si>
    <t>Bajaj PL 2</t>
  </si>
  <si>
    <t>Bhargavi 3.5L</t>
  </si>
  <si>
    <t>ADB</t>
  </si>
  <si>
    <t>Old dues</t>
  </si>
  <si>
    <t>Kaulu</t>
  </si>
  <si>
    <t>Gifts - Mavayya</t>
  </si>
  <si>
    <t>Gifts - Daddy</t>
  </si>
  <si>
    <t>Dress - Mavayya</t>
  </si>
  <si>
    <t>Nonu Acc</t>
  </si>
  <si>
    <t>Id</t>
  </si>
  <si>
    <t>Pwd</t>
  </si>
  <si>
    <t>Pwd 2</t>
  </si>
  <si>
    <t>divakaramex</t>
  </si>
  <si>
    <t>Divakar1984#</t>
  </si>
  <si>
    <t>Likhith#30</t>
  </si>
  <si>
    <t>Ruthvika@1701</t>
  </si>
  <si>
    <t>"237910100020445"</t>
  </si>
  <si>
    <t>Andhrabank - Bhargu</t>
  </si>
  <si>
    <t>Likhith@210490</t>
  </si>
  <si>
    <t>APCPDCL</t>
  </si>
  <si>
    <t>kdivakar</t>
  </si>
  <si>
    <t>$h32rv8l</t>
  </si>
  <si>
    <t>suprithag</t>
  </si>
  <si>
    <t>"14174374"</t>
  </si>
  <si>
    <t>Species3</t>
  </si>
  <si>
    <t>Cibil</t>
  </si>
  <si>
    <t>mail2divakar@gmail.com</t>
  </si>
  <si>
    <t>Diva@6207</t>
  </si>
  <si>
    <t>mail2divakar</t>
  </si>
  <si>
    <t>species3</t>
  </si>
  <si>
    <t>Dishtv</t>
  </si>
  <si>
    <t>divakar84</t>
  </si>
  <si>
    <t>HDFC Net Banking</t>
  </si>
  <si>
    <t>Ruthvika@170120</t>
  </si>
  <si>
    <t>HDFC Life</t>
  </si>
  <si>
    <t>Ruthvika#17</t>
  </si>
  <si>
    <t>HDFC Loan</t>
  </si>
  <si>
    <t>divakarpl</t>
  </si>
  <si>
    <t>Id@393019</t>
  </si>
  <si>
    <t>ICICI Direct</t>
  </si>
  <si>
    <t>IncomeTax ID/PWD</t>
  </si>
  <si>
    <t>APVPK4237P</t>
  </si>
  <si>
    <t>Ruthvika@23022</t>
  </si>
  <si>
    <t>"62378881522"</t>
  </si>
  <si>
    <t>BDHPG9618M</t>
  </si>
  <si>
    <t>Divakar84#</t>
  </si>
  <si>
    <t>Traces</t>
  </si>
  <si>
    <t>Ruthvika170120</t>
  </si>
  <si>
    <t>"52156133"</t>
  </si>
  <si>
    <t>Kotak LI</t>
  </si>
  <si>
    <t>Nonu@2016#30</t>
  </si>
  <si>
    <t>SBI TATA Card</t>
  </si>
  <si>
    <t>divakartatacard</t>
  </si>
  <si>
    <t>Prestige@C204</t>
  </si>
  <si>
    <t>SBH Online</t>
  </si>
  <si>
    <t>divakarsbh</t>
  </si>
  <si>
    <t>Ruthvika@230222</t>
  </si>
  <si>
    <t>SBI card</t>
  </si>
  <si>
    <t>Likhith@30062016</t>
  </si>
  <si>
    <t>SBI Dad</t>
  </si>
  <si>
    <t>knageswarrao1959</t>
  </si>
  <si>
    <t>SBI Mom</t>
  </si>
  <si>
    <t>damayanthikadupu</t>
  </si>
  <si>
    <t>$pecies3#</t>
  </si>
  <si>
    <t>SBI Ruthvika</t>
  </si>
  <si>
    <t>ruthvikakadupu</t>
  </si>
  <si>
    <t>Ruthvika#170120</t>
  </si>
  <si>
    <t>ClubMahindra</t>
  </si>
  <si>
    <t>Species3#</t>
  </si>
  <si>
    <t>Policy #</t>
  </si>
  <si>
    <t>Policy Name</t>
  </si>
  <si>
    <t>Holder</t>
  </si>
  <si>
    <t>Sum Assured</t>
  </si>
  <si>
    <t>Term</t>
  </si>
  <si>
    <t>Premium</t>
  </si>
  <si>
    <t>Frequency</t>
  </si>
  <si>
    <t>Policy Commenced</t>
  </si>
  <si>
    <t>Last premium on</t>
  </si>
  <si>
    <t>StandardChartered CC</t>
  </si>
  <si>
    <t>Diva308913</t>
  </si>
  <si>
    <t>New Money Back Policy</t>
  </si>
  <si>
    <t>G.Bhargavi</t>
  </si>
  <si>
    <t>Yearly</t>
  </si>
  <si>
    <t>UAN</t>
  </si>
  <si>
    <t>100143951256</t>
  </si>
  <si>
    <t>The Money Back Policy</t>
  </si>
  <si>
    <t>Gundavarapu Bhargavi</t>
  </si>
  <si>
    <t>LIC - 1 - Bhargavi</t>
  </si>
  <si>
    <t>bhargavi.g1990</t>
  </si>
  <si>
    <t>New Jana Raksha Plan</t>
  </si>
  <si>
    <t>Quarterly</t>
  </si>
  <si>
    <t>LIC - 2 - Bhargavi</t>
  </si>
  <si>
    <t>bhargavigundava</t>
  </si>
  <si>
    <t>Linked to mail2divakar</t>
  </si>
  <si>
    <t>The Endowment Assurance Policy</t>
  </si>
  <si>
    <t>LIC - Divakar</t>
  </si>
  <si>
    <t>K.Divakar</t>
  </si>
  <si>
    <t>LIC Dad's</t>
  </si>
  <si>
    <t>k.nageswararao</t>
  </si>
  <si>
    <t>Divakar@1984</t>
  </si>
  <si>
    <t>PRAN</t>
  </si>
  <si>
    <t>"110037892475"</t>
  </si>
  <si>
    <t>RBL Web Login</t>
  </si>
  <si>
    <t>divakarrbl</t>
  </si>
  <si>
    <t>RBL Rewards</t>
  </si>
  <si>
    <t>divakar.kadupu@gmail.com</t>
  </si>
  <si>
    <t>L1kh1th8</t>
  </si>
  <si>
    <t>Royal Sundaram Car Ins</t>
  </si>
  <si>
    <t>Bhargvai@90#</t>
  </si>
  <si>
    <t>Dad's UnionBank Acc</t>
  </si>
  <si>
    <t>myhpgas.in</t>
  </si>
  <si>
    <t>8886851789/bhargavi.gundavarapu.28@gmail.com</t>
  </si>
  <si>
    <t>div9bha28 / Ruthvika17</t>
  </si>
  <si>
    <t>Gross</t>
  </si>
  <si>
    <t>Variable Pay
Arrears</t>
  </si>
  <si>
    <t>Variable
Pay</t>
  </si>
  <si>
    <t>IT For fy 2023-2024</t>
  </si>
  <si>
    <t>PF</t>
  </si>
  <si>
    <t>Basic</t>
  </si>
  <si>
    <t>Basic Arrears</t>
  </si>
  <si>
    <t>HRA Arrears</t>
  </si>
  <si>
    <t>Conveyance</t>
  </si>
  <si>
    <t>Conveyance Arrears</t>
  </si>
  <si>
    <t>LTA Arrears</t>
  </si>
  <si>
    <t>Component</t>
  </si>
  <si>
    <t>Old</t>
  </si>
  <si>
    <t>Arrears</t>
  </si>
  <si>
    <t>TDS</t>
  </si>
  <si>
    <t>FoodCoupons</t>
  </si>
  <si>
    <t>Variable Pay</t>
  </si>
  <si>
    <t>Principal Disbursed</t>
  </si>
  <si>
    <t>CERSAI Charge</t>
  </si>
  <si>
    <t>Dep Cersai Charge</t>
  </si>
  <si>
    <t>GST of Builder</t>
  </si>
  <si>
    <t>E</t>
  </si>
  <si>
    <t>Module</t>
  </si>
  <si>
    <t>Score</t>
  </si>
  <si>
    <t>Fundamentals</t>
  </si>
  <si>
    <t>Git</t>
  </si>
  <si>
    <t>Jenkins</t>
  </si>
  <si>
    <t>Ansible</t>
  </si>
  <si>
    <t>Docker</t>
  </si>
  <si>
    <t>K8s</t>
  </si>
  <si>
    <t>AWSDevOps &amp; Prometheus</t>
  </si>
  <si>
    <t>Overall</t>
  </si>
  <si>
    <t>P/L Percentage</t>
  </si>
  <si>
    <t>Incentive/Others</t>
  </si>
  <si>
    <t>2015-2016</t>
  </si>
  <si>
    <t>IT-FY-2016-2017</t>
  </si>
  <si>
    <t>IT-FY-2017-2018</t>
  </si>
  <si>
    <t>IT-FY-2018-2019</t>
  </si>
  <si>
    <t>IT-FY-2019-2020</t>
  </si>
  <si>
    <t>IT-FY-2020-2021</t>
  </si>
  <si>
    <t>IT-FY-2021-2022</t>
  </si>
  <si>
    <t>IT-FY-2022-2023</t>
  </si>
  <si>
    <t>IT</t>
  </si>
  <si>
    <t>Service Tax</t>
  </si>
  <si>
    <t>Shares</t>
  </si>
  <si>
    <t>CurrentValue</t>
  </si>
  <si>
    <t>Bought on</t>
  </si>
  <si>
    <t>Bought Price</t>
  </si>
  <si>
    <t>Bought Value</t>
  </si>
  <si>
    <t>Current Price</t>
  </si>
  <si>
    <t>Profit/Loss</t>
  </si>
  <si>
    <t>2016-17</t>
  </si>
  <si>
    <t>GVKPOW</t>
  </si>
  <si>
    <t>2017-18</t>
  </si>
  <si>
    <t>2018-19</t>
  </si>
  <si>
    <t>2019-20</t>
  </si>
  <si>
    <t>2020-21</t>
  </si>
  <si>
    <t>COFDAY</t>
  </si>
  <si>
    <t>2021-22</t>
  </si>
  <si>
    <t>NAGFER</t>
  </si>
  <si>
    <t>2022-23</t>
  </si>
  <si>
    <t>2023-24</t>
  </si>
  <si>
    <t>2024-25</t>
  </si>
  <si>
    <t>2025-26</t>
  </si>
  <si>
    <t>2026-27</t>
  </si>
  <si>
    <t>Not including Nagfer@32.85</t>
  </si>
  <si>
    <t>Gain/Loss</t>
  </si>
  <si>
    <t>Percentage</t>
  </si>
  <si>
    <t>SIPs - ClearTax</t>
  </si>
  <si>
    <t>Fund</t>
  </si>
  <si>
    <t>Amount Invested</t>
  </si>
  <si>
    <t>Units</t>
  </si>
  <si>
    <t>DSP Tax Saver Fund</t>
  </si>
  <si>
    <t>Aditya Birla Sun Life Tax</t>
  </si>
  <si>
    <t>ICICI Prudential Long Term</t>
  </si>
  <si>
    <t>Axis Long Term Equity Fund</t>
  </si>
  <si>
    <t>DSP Equity</t>
  </si>
  <si>
    <t>Mirae Asset</t>
  </si>
  <si>
    <t>HDFC Hybrid</t>
  </si>
  <si>
    <t>Nippon Hybrid</t>
  </si>
  <si>
    <t>Birla Sun Life Equity Fund</t>
  </si>
  <si>
    <t>Axis Focused 25 Fund</t>
  </si>
  <si>
    <t>Reliance Small Cap Fund</t>
  </si>
  <si>
    <t>Kotak MF redeemed</t>
  </si>
  <si>
    <t>Jeep Compass</t>
  </si>
  <si>
    <t>Polo</t>
  </si>
  <si>
    <t>From my Own</t>
  </si>
  <si>
    <t>Total DP</t>
  </si>
  <si>
    <t>SBI Loan</t>
  </si>
  <si>
    <t>ICICI Shares</t>
  </si>
  <si>
    <t>Total OnRoad</t>
  </si>
  <si>
    <t>Mileage</t>
  </si>
  <si>
    <t>Prev Reading</t>
  </si>
  <si>
    <t>Filled</t>
  </si>
  <si>
    <t>Curr Reading</t>
  </si>
  <si>
    <t>Distance (Kms)</t>
  </si>
  <si>
    <t>D400 reading</t>
  </si>
  <si>
    <t>On</t>
  </si>
  <si>
    <t>Units-ClassicOps</t>
  </si>
  <si>
    <t>Units-DynamicFloor</t>
  </si>
  <si>
    <t>FundValue</t>
  </si>
  <si>
    <t>RP Cash</t>
  </si>
  <si>
    <t>Phani return</t>
  </si>
  <si>
    <t>Milk</t>
  </si>
  <si>
    <t>in Cash</t>
  </si>
  <si>
    <t>In Acc</t>
  </si>
  <si>
    <t>Prinicipal</t>
  </si>
  <si>
    <t>PreClose Value</t>
  </si>
  <si>
    <t>Total Loan Amount</t>
  </si>
  <si>
    <t>Processing Fee</t>
  </si>
  <si>
    <t>Gst on Proc. Fee</t>
  </si>
  <si>
    <t>Gap Interest</t>
  </si>
  <si>
    <t>GST on Gap Interest</t>
  </si>
  <si>
    <t>Total in EMIs</t>
  </si>
  <si>
    <t>Flat Rate Int/Month.</t>
  </si>
  <si>
    <t>EMI billed</t>
  </si>
  <si>
    <t>EMI unbilled</t>
  </si>
  <si>
    <t>Policy</t>
  </si>
  <si>
    <t>Divakar - SBI Shubh Nivesh</t>
  </si>
  <si>
    <t>Divakar - Smart Wealth</t>
  </si>
  <si>
    <t>Bhargavi - Smart Wealth</t>
  </si>
  <si>
    <t>Likhith - Ajeevan Sampatti</t>
  </si>
  <si>
    <t>Divakar - Kotak LI</t>
  </si>
  <si>
    <t>Divakar - NPS</t>
  </si>
  <si>
    <t>Divakar - Citi Health</t>
  </si>
  <si>
    <t>Divakar - Term</t>
  </si>
  <si>
    <t>Total/Year</t>
  </si>
  <si>
    <t>Monthly</t>
  </si>
  <si>
    <t>Once in 2 years</t>
  </si>
  <si>
    <t>Due on</t>
  </si>
  <si>
    <t>Franking Charges</t>
  </si>
  <si>
    <t>Booking amount</t>
  </si>
  <si>
    <t>Test</t>
  </si>
  <si>
    <t>Downpayment</t>
  </si>
  <si>
    <t>PART PERIOD INTER</t>
  </si>
  <si>
    <t>REPAYMENT BY A/C BY SALARY</t>
  </si>
  <si>
    <t>INTEREST</t>
  </si>
  <si>
    <t>DEBIT ADJUSTMENT CERSAI FEE</t>
  </si>
  <si>
    <t>RC copy non submi</t>
  </si>
  <si>
    <t>Old + New</t>
  </si>
  <si>
    <t>PPR 0008 0314 7142</t>
  </si>
  <si>
    <t>Pre-Closure Charges</t>
  </si>
  <si>
    <t>25% Principal</t>
  </si>
  <si>
    <t>Total Loan in EMIs</t>
  </si>
  <si>
    <t>EMI-1</t>
  </si>
  <si>
    <t>Balance in EMIs</t>
  </si>
  <si>
    <t>EMI-2</t>
  </si>
  <si>
    <t>Total Loan in Principal</t>
  </si>
  <si>
    <t>EMI-3</t>
  </si>
  <si>
    <t>Paid till now</t>
  </si>
  <si>
    <t>EMI-4</t>
  </si>
  <si>
    <t>Only Interest</t>
  </si>
  <si>
    <t>EMI-5</t>
  </si>
  <si>
    <t>Interest per Month</t>
  </si>
  <si>
    <t>EMI-6</t>
  </si>
  <si>
    <t>Loan Principal</t>
  </si>
  <si>
    <t>EMI-7</t>
  </si>
  <si>
    <t xml:space="preserve">                                                          </t>
  </si>
  <si>
    <t>EMI-8</t>
  </si>
  <si>
    <t>Interest - Old loan</t>
  </si>
  <si>
    <t>EMI-9</t>
  </si>
  <si>
    <t>EMI-10</t>
  </si>
  <si>
    <t>EMI-11</t>
  </si>
  <si>
    <t>EMI-12</t>
  </si>
  <si>
    <t>New - 2018 July</t>
  </si>
  <si>
    <t>EMI-13</t>
  </si>
  <si>
    <t>EMI-14</t>
  </si>
  <si>
    <t>EMI-15</t>
  </si>
  <si>
    <t>EMI-16</t>
  </si>
  <si>
    <t>Paid till now in EMIs</t>
  </si>
  <si>
    <t>EMI-17</t>
  </si>
  <si>
    <t>EMI-18</t>
  </si>
  <si>
    <t>EMI-19</t>
  </si>
  <si>
    <t>EMI-20</t>
  </si>
  <si>
    <t>EMI-21</t>
  </si>
  <si>
    <t>EMI-22</t>
  </si>
  <si>
    <t>EMI-23</t>
  </si>
  <si>
    <t>EMI-24</t>
  </si>
  <si>
    <t>EMI-25</t>
  </si>
  <si>
    <t>EMI-26</t>
  </si>
  <si>
    <t>EMI-27</t>
  </si>
  <si>
    <t>EMI-28</t>
  </si>
  <si>
    <t>EMI-29</t>
  </si>
  <si>
    <t>EMI-30</t>
  </si>
  <si>
    <t>EMI-31</t>
  </si>
  <si>
    <t>EMI-32</t>
  </si>
  <si>
    <t>EMI-33</t>
  </si>
  <si>
    <t>EMI-34</t>
  </si>
  <si>
    <t>EMI-35</t>
  </si>
  <si>
    <t>EMI-36</t>
  </si>
  <si>
    <t>EMI-37</t>
  </si>
  <si>
    <t>EMI-38</t>
  </si>
  <si>
    <t>EMI-39</t>
  </si>
  <si>
    <t>EMI-40</t>
  </si>
  <si>
    <t>EMI-41</t>
  </si>
  <si>
    <t>EMI-42</t>
  </si>
  <si>
    <t>EMI-43</t>
  </si>
  <si>
    <t>EMI-44</t>
  </si>
  <si>
    <t>EMI-45</t>
  </si>
  <si>
    <t>EMI-46</t>
  </si>
  <si>
    <t>EMI-47</t>
  </si>
  <si>
    <t>EMI-48</t>
  </si>
  <si>
    <t>EMI-49</t>
  </si>
  <si>
    <t>EMI-50</t>
  </si>
  <si>
    <t>EMI-51</t>
  </si>
  <si>
    <t>EMI-52</t>
  </si>
  <si>
    <t>EMI-53</t>
  </si>
  <si>
    <t>EMI-54</t>
  </si>
  <si>
    <t>EMI-55</t>
  </si>
  <si>
    <t>EMI-56</t>
  </si>
  <si>
    <t>EMI-57</t>
  </si>
  <si>
    <t>EMI-58</t>
  </si>
  <si>
    <t>EMI-59</t>
  </si>
  <si>
    <t>EMI-60</t>
  </si>
  <si>
    <t>Existing loan</t>
  </si>
  <si>
    <t>New Loan</t>
  </si>
  <si>
    <t>Total Paid back</t>
  </si>
  <si>
    <t>Extra</t>
  </si>
  <si>
    <t>Interest + GST</t>
  </si>
  <si>
    <t>EMI-0</t>
  </si>
  <si>
    <t>Axis PL</t>
  </si>
  <si>
    <t>Jeep SBI Loan</t>
  </si>
  <si>
    <t>Bajaj Fin Flexi</t>
  </si>
  <si>
    <t>TV EMIs</t>
  </si>
  <si>
    <t>Amex CC EMIs</t>
  </si>
  <si>
    <t>Ravi Jumbo Loan</t>
  </si>
  <si>
    <t>Cal-2015</t>
  </si>
  <si>
    <t>Cal-2016</t>
  </si>
  <si>
    <t>Cal-2017</t>
  </si>
  <si>
    <t>Cal-2018</t>
  </si>
  <si>
    <t>Cal-2019</t>
  </si>
  <si>
    <t>Payslip (Apr 2016)</t>
  </si>
  <si>
    <t>Payslip (May 2016)</t>
  </si>
  <si>
    <t>Payslip (Jun 2016)</t>
  </si>
  <si>
    <t>Payslip (Jul 2016)</t>
  </si>
  <si>
    <t>Payslip (Aug 2016)</t>
  </si>
  <si>
    <t>Payslip (Sep 2016)</t>
  </si>
  <si>
    <t>Payslip (Oct 2016)</t>
  </si>
  <si>
    <t>Payslip (Nov 2016)</t>
  </si>
  <si>
    <t>Payslip (Dec 2016)</t>
  </si>
  <si>
    <t>Payslip (Jan 2017)</t>
  </si>
  <si>
    <t>Payslip (Feb 2017)</t>
  </si>
  <si>
    <t>Payslip (March 2016)</t>
  </si>
  <si>
    <t>Payslip (March 2017)</t>
  </si>
  <si>
    <t>Payslip (March 2018)</t>
  </si>
  <si>
    <t>Bonus/Ex-gratia</t>
  </si>
  <si>
    <t>Special Allowance</t>
  </si>
  <si>
    <t>Telephone reimbursement</t>
  </si>
  <si>
    <t>CCA</t>
  </si>
  <si>
    <t>Medical Reimbursement</t>
  </si>
  <si>
    <t>Others</t>
  </si>
  <si>
    <t>Sodexo</t>
  </si>
  <si>
    <t>Vehicle Allowance</t>
  </si>
  <si>
    <t>Total (A)</t>
  </si>
  <si>
    <t>PF Contribution (Employee)</t>
  </si>
  <si>
    <t>PF Contribution (Employer)</t>
  </si>
  <si>
    <t>Gratuity</t>
  </si>
  <si>
    <t>Total (B)</t>
  </si>
  <si>
    <t>Professional Tax</t>
  </si>
  <si>
    <t>Income Tax</t>
  </si>
  <si>
    <t>Fixed CTC (A+B)</t>
  </si>
  <si>
    <t>Per Annum</t>
  </si>
  <si>
    <t>Details</t>
  </si>
  <si>
    <t>Photographer</t>
  </si>
  <si>
    <t>Athidhi</t>
  </si>
  <si>
    <t>430@184</t>
  </si>
  <si>
    <t>Decoration</t>
  </si>
  <si>
    <t>Organizer</t>
  </si>
  <si>
    <t>Dress Purchase</t>
  </si>
  <si>
    <t>Return Gifts</t>
  </si>
  <si>
    <t>Pooja</t>
  </si>
  <si>
    <t>Tiffins</t>
  </si>
  <si>
    <t>Lunch</t>
  </si>
  <si>
    <t>Total Carried</t>
  </si>
  <si>
    <t>Dinner</t>
  </si>
  <si>
    <t>Food balance</t>
  </si>
  <si>
    <t>Credited by Baava</t>
  </si>
  <si>
    <t>Cake</t>
  </si>
  <si>
    <t>Satish Donaldduck</t>
  </si>
  <si>
    <t>to Thaatha from Chelli</t>
  </si>
  <si>
    <t>Decorator</t>
  </si>
  <si>
    <t>1000 from Vikram mavayya</t>
  </si>
  <si>
    <t>For Tpty trip</t>
  </si>
  <si>
    <t>Thaatha</t>
  </si>
  <si>
    <t>Refund from Amazon-suitcase</t>
  </si>
  <si>
    <t>Grand Total</t>
  </si>
  <si>
    <t>Refund from Jabong/Myntra</t>
  </si>
  <si>
    <t>Akka</t>
  </si>
  <si>
    <t>Diesel</t>
  </si>
  <si>
    <t>Amazon Pay Balance</t>
  </si>
  <si>
    <t>Train tickets</t>
  </si>
  <si>
    <t>in Hand</t>
  </si>
  <si>
    <t>Tiffin</t>
  </si>
  <si>
    <t>Lakshmi - extra work</t>
  </si>
  <si>
    <t>Tip-servers</t>
  </si>
  <si>
    <t>Tip - Parking</t>
  </si>
  <si>
    <t>Amt drawn from Andhra bank</t>
  </si>
  <si>
    <t>Panthulu</t>
  </si>
  <si>
    <t>Haarathi</t>
  </si>
  <si>
    <t>Nandin mess</t>
  </si>
  <si>
    <t>Dakshina</t>
  </si>
  <si>
    <t>O/S Principal</t>
  </si>
  <si>
    <t>Paid back in Total</t>
  </si>
  <si>
    <t>Guru</t>
  </si>
  <si>
    <t>Balance Prinicapl after 41st EMI</t>
  </si>
  <si>
    <t>Ram</t>
  </si>
  <si>
    <t>Difference if pre-closed</t>
  </si>
  <si>
    <t>Interest divided by remaining tenor</t>
  </si>
  <si>
    <t>Principal - 12000</t>
  </si>
  <si>
    <t>"@15.25%"</t>
  </si>
  <si>
    <t>"@14%"</t>
  </si>
  <si>
    <t>Reg EMI</t>
  </si>
  <si>
    <t>"@11%"</t>
  </si>
  <si>
    <t>Pre-close</t>
  </si>
  <si>
    <t>O/S</t>
  </si>
  <si>
    <t>Total (EMI * Tenor)</t>
  </si>
  <si>
    <t>Total Together</t>
  </si>
  <si>
    <t>Axis EMI (48)</t>
  </si>
  <si>
    <t>SC</t>
  </si>
  <si>
    <t>SC EMI (36)</t>
  </si>
  <si>
    <t>Axis EMI (36)</t>
  </si>
  <si>
    <t>Diff After converting</t>
  </si>
  <si>
    <t>at 11.29%</t>
  </si>
  <si>
    <t>at 11%</t>
  </si>
  <si>
    <t>20L</t>
  </si>
  <si>
    <t>21L</t>
  </si>
  <si>
    <t>22L</t>
  </si>
  <si>
    <t>Diff in EMI</t>
  </si>
  <si>
    <t>4 Years</t>
  </si>
  <si>
    <t>3 Years</t>
  </si>
  <si>
    <t>Axis EMI (50)</t>
  </si>
  <si>
    <t>Total Paid</t>
  </si>
  <si>
    <t>Difference in Interest
for 4 vs 3yr</t>
  </si>
  <si>
    <t>Continuing existing Loans</t>
  </si>
  <si>
    <t>New Loan/4</t>
  </si>
  <si>
    <t>New Loan/3</t>
  </si>
  <si>
    <t>Balance Int to Axis</t>
  </si>
  <si>
    <t>Save</t>
  </si>
  <si>
    <t>Advance</t>
  </si>
  <si>
    <t>Till Now</t>
  </si>
  <si>
    <t xml:space="preserve">Eletrician </t>
  </si>
  <si>
    <t>Electrical material</t>
  </si>
  <si>
    <t>Mestri</t>
  </si>
  <si>
    <t>False Ceiling</t>
  </si>
  <si>
    <t>Cement consumables</t>
  </si>
  <si>
    <t>Tiles-labour</t>
  </si>
  <si>
    <t>Carpenter Naresh</t>
  </si>
  <si>
    <t>Painter</t>
  </si>
  <si>
    <t>CB Recvd</t>
  </si>
  <si>
    <t>Gave to Naresh (1L) Granite (6000) Granite Labour (11020)</t>
  </si>
  <si>
    <t>Tiles - Material</t>
  </si>
  <si>
    <t>Acrylic Sheet</t>
  </si>
  <si>
    <t>Gave to Kishore</t>
  </si>
  <si>
    <t>Sink/Granite Purchase</t>
  </si>
  <si>
    <t>Balance from Kishore</t>
  </si>
  <si>
    <t>Granite Labour</t>
  </si>
  <si>
    <t>Plumbing Material</t>
  </si>
  <si>
    <t>Gave to Praveen P</t>
  </si>
  <si>
    <t>Plumber</t>
  </si>
  <si>
    <t>inHand</t>
  </si>
  <si>
    <t>Toll</t>
  </si>
  <si>
    <t>atHome in 500s</t>
  </si>
  <si>
    <t>Tatasky Recharge</t>
  </si>
  <si>
    <t>Gave to Krishna</t>
  </si>
  <si>
    <t>Acs (3)</t>
  </si>
  <si>
    <t>Gave to Kumar</t>
  </si>
  <si>
    <t>Geysers (2), accessories</t>
  </si>
  <si>
    <t>Subway</t>
  </si>
  <si>
    <t>Gave to Vasu</t>
  </si>
  <si>
    <t>Mosquito Net</t>
  </si>
  <si>
    <t>Soda</t>
  </si>
  <si>
    <t>in AndhraBank Acc</t>
  </si>
  <si>
    <t>Glasses - Furniture</t>
  </si>
  <si>
    <t>Water Cans</t>
  </si>
  <si>
    <t>Kitchen Platform re-work</t>
  </si>
  <si>
    <t>Chimney &amp; Installation</t>
  </si>
  <si>
    <t>Sanitary Material</t>
  </si>
  <si>
    <t>LED Lights</t>
  </si>
  <si>
    <t>Wash basin Light</t>
  </si>
  <si>
    <t>LED Tube/Fans</t>
  </si>
  <si>
    <t>Adapter</t>
  </si>
  <si>
    <t>Granite-extra work</t>
  </si>
  <si>
    <t>Doors/material</t>
  </si>
  <si>
    <t>Common Area Grill</t>
  </si>
  <si>
    <t>Cement Sand Bricks</t>
  </si>
  <si>
    <t>Dad</t>
  </si>
  <si>
    <t>Maintenance</t>
  </si>
  <si>
    <t>Cleaning</t>
  </si>
  <si>
    <t>Shifting Charges</t>
  </si>
  <si>
    <t>1 Acre Land</t>
  </si>
  <si>
    <t>1/8th</t>
  </si>
  <si>
    <t>Money Adjustments</t>
  </si>
  <si>
    <t>Registration Charges</t>
  </si>
  <si>
    <t>SBH</t>
  </si>
  <si>
    <t>DAD</t>
  </si>
  <si>
    <t>Mavayya</t>
  </si>
  <si>
    <t>Attaiah Chit</t>
  </si>
  <si>
    <t>Bhargu Chit</t>
  </si>
  <si>
    <t>For 4 months</t>
  </si>
  <si>
    <t>5 lac chit</t>
  </si>
  <si>
    <t>1 lac chit</t>
  </si>
  <si>
    <t>JumboLoan - Ravi</t>
  </si>
  <si>
    <t>New Loans</t>
  </si>
  <si>
    <t>Applied for Amount</t>
  </si>
  <si>
    <t>Disbursed</t>
  </si>
  <si>
    <t>Interest Rate (%)</t>
  </si>
  <si>
    <t>sec 80c</t>
  </si>
  <si>
    <t>EMI-1 + ProcFee</t>
  </si>
  <si>
    <t>prof tax</t>
  </si>
  <si>
    <t>Standard Chartered</t>
  </si>
  <si>
    <t>conveyance</t>
  </si>
  <si>
    <t>HDFC Self</t>
  </si>
  <si>
    <t>HDFC CC - Ravi</t>
  </si>
  <si>
    <t>Medical</t>
  </si>
  <si>
    <t>Default Exemption</t>
  </si>
  <si>
    <t>Chit</t>
  </si>
  <si>
    <t>4yrs</t>
  </si>
  <si>
    <t>5yrs</t>
  </si>
  <si>
    <t>Greenpeace</t>
  </si>
  <si>
    <t>Misc</t>
  </si>
  <si>
    <t>After EMI</t>
  </si>
  <si>
    <t>OS Principal</t>
  </si>
  <si>
    <t>PreClosure Charges</t>
  </si>
  <si>
    <t>Sr. Tax</t>
  </si>
  <si>
    <t>To be Paid in EMIs</t>
  </si>
  <si>
    <t>Saved</t>
  </si>
  <si>
    <t>Int per Month</t>
  </si>
  <si>
    <t>Int per day</t>
  </si>
  <si>
    <t>Total Int per month</t>
  </si>
  <si>
    <t>For 15 days</t>
  </si>
  <si>
    <t>Interest Only</t>
  </si>
  <si>
    <t>Interest/Month</t>
  </si>
  <si>
    <t>Interest for 15 days</t>
  </si>
  <si>
    <t>Bajaj</t>
  </si>
  <si>
    <t>Indus CC</t>
  </si>
  <si>
    <t>Processing fee</t>
  </si>
  <si>
    <t>Stamp Duty</t>
  </si>
  <si>
    <t>Total deductions</t>
  </si>
  <si>
    <t>Diff in Loan and disbursed</t>
  </si>
  <si>
    <t>Newly Obtained loans</t>
  </si>
  <si>
    <t>BajFin</t>
  </si>
  <si>
    <t>Indus</t>
  </si>
  <si>
    <t>Gave loan to Bava ELR</t>
  </si>
  <si>
    <t>Paid back to BajajFlexi</t>
  </si>
  <si>
    <t>Given back to Kishore</t>
  </si>
  <si>
    <t>Loans</t>
  </si>
  <si>
    <t>Combined EMI per month</t>
  </si>
  <si>
    <t>Disbursed Amount</t>
  </si>
  <si>
    <t>EMIs paid (12)</t>
  </si>
  <si>
    <t>Loans Pre-Closed with Prinicipal O/S</t>
  </si>
  <si>
    <t>Prinicpal BT'ed to HDFC</t>
  </si>
  <si>
    <t>BT'ed Loan from HDFC</t>
  </si>
  <si>
    <t>Himachal Trip</t>
  </si>
  <si>
    <t>OYO</t>
  </si>
  <si>
    <t>OnWard Cab</t>
  </si>
  <si>
    <t>Uber</t>
  </si>
  <si>
    <t>70000 CR</t>
  </si>
  <si>
    <t xml:space="preserve">KFC </t>
  </si>
  <si>
    <t>whsmith</t>
  </si>
  <si>
    <t>Apollo</t>
  </si>
  <si>
    <t>Idly factory</t>
  </si>
  <si>
    <t>Central Park</t>
  </si>
  <si>
    <t>Club Mahindra charges</t>
  </si>
  <si>
    <t>return cab</t>
  </si>
  <si>
    <t>Vaango</t>
  </si>
  <si>
    <t>CostaCoffee</t>
  </si>
  <si>
    <t>Employee share</t>
  </si>
  <si>
    <t>Employer share</t>
  </si>
  <si>
    <t>E1 Total</t>
  </si>
  <si>
    <t>E2 Total</t>
  </si>
  <si>
    <t>Deloitte PF Txfr</t>
  </si>
  <si>
    <t>CTS PF Txfr</t>
  </si>
  <si>
    <t>Deloitte Int Txfr</t>
  </si>
  <si>
    <t>CTS Int Txfr</t>
  </si>
  <si>
    <t>Zen PF Int</t>
  </si>
  <si>
    <t>Authorization PINS</t>
  </si>
  <si>
    <t>CC-ICICI New</t>
  </si>
  <si>
    <t>Myhome@C204</t>
  </si>
  <si>
    <t>0901@2227</t>
  </si>
  <si>
    <t>PVR Coupons</t>
  </si>
  <si>
    <t>KUT4WG</t>
  </si>
  <si>
    <t>88TNK8</t>
  </si>
  <si>
    <t>HD4NCX</t>
  </si>
  <si>
    <t>MFAY9M</t>
  </si>
  <si>
    <t>HUUBXS</t>
  </si>
  <si>
    <t>JY3LBC</t>
  </si>
  <si>
    <t>5UD5QE</t>
  </si>
  <si>
    <t>RW5P5J</t>
  </si>
  <si>
    <t>5KEPH5</t>
  </si>
  <si>
    <t>6JMSH9</t>
  </si>
  <si>
    <t>WXFBTN</t>
  </si>
  <si>
    <t>BSYFXF</t>
  </si>
  <si>
    <t>XEMRJK</t>
  </si>
  <si>
    <t>57UD9Q</t>
  </si>
  <si>
    <t>D8P6LL</t>
  </si>
  <si>
    <t>P4FFL9</t>
  </si>
  <si>
    <t>HDFC Swiggy Card</t>
  </si>
  <si>
    <t>5268 7300 0322 3102</t>
  </si>
  <si>
    <t>08/31</t>
  </si>
  <si>
    <t>Spl Allowance</t>
  </si>
  <si>
    <t>Net Salary</t>
  </si>
  <si>
    <t>Total Deductions</t>
  </si>
  <si>
    <t>PLI</t>
  </si>
  <si>
    <t>Life Ins Premium</t>
  </si>
  <si>
    <t>Van fee</t>
  </si>
  <si>
    <t>CC-HDFC Swiggy</t>
  </si>
  <si>
    <t>icici bank</t>
  </si>
  <si>
    <t>BDRPJL</t>
  </si>
  <si>
    <t>XUGNJA</t>
  </si>
  <si>
    <t>D6Q7QA</t>
  </si>
  <si>
    <t>KVUC7L</t>
  </si>
  <si>
    <t>U93ULB</t>
  </si>
  <si>
    <t>Used - 15/11</t>
  </si>
  <si>
    <t>Used - 28/11</t>
  </si>
  <si>
    <t>Used - 18/10</t>
  </si>
  <si>
    <t>Expired</t>
  </si>
  <si>
    <t>Sal Credited</t>
  </si>
  <si>
    <t>Ather Service</t>
  </si>
  <si>
    <t>Train ride - Forum</t>
  </si>
  <si>
    <t>HDFC CC payment</t>
  </si>
  <si>
    <t>Axis CC Payment</t>
  </si>
  <si>
    <t>Water bottle</t>
  </si>
  <si>
    <t>CC - Kotak</t>
  </si>
  <si>
    <t>AC EMI</t>
  </si>
  <si>
    <t>Bajaj OD EMI</t>
  </si>
  <si>
    <t>Credits</t>
  </si>
  <si>
    <t>Debits</t>
  </si>
  <si>
    <t>Washing Machine EMI</t>
  </si>
  <si>
    <t>Baja OD Interest - Kishore</t>
  </si>
  <si>
    <t>Nonu School Fee</t>
  </si>
  <si>
    <t>Ruthu School Fee</t>
  </si>
  <si>
    <t>ATM WDL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</si>
</sst>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0.00;[Red]0.00"/>
    <numFmt numFmtId="165" formatCode="[$-409]d\-mmm\-yy;@"/>
    <numFmt numFmtId="166" formatCode="0.0000;[Red]0.0000"/>
    <numFmt numFmtId="167" formatCode="#,##0.00;[Red]#,##0.00"/>
    <numFmt numFmtId="168" formatCode="[$-409]mmm\-yy;@"/>
    <numFmt numFmtId="169" formatCode="[$-409]d\-mmm\-yyyy;@"/>
    <numFmt numFmtId="170" formatCode="[$-409]d/mmm;@"/>
    <numFmt numFmtId="171" formatCode="[$-409]mmmm\ d\,\ yyyy;@"/>
    <numFmt numFmtId="172" formatCode="0.000000;[Red]0.000000"/>
    <numFmt numFmtId="173" formatCode="0.00000;[Red]0.00000"/>
    <numFmt numFmtId="174" formatCode="[$-409]dd\-mmm\-yy;@"/>
    <numFmt numFmtId="175" formatCode="[$-409]dd/mmm/yy;@"/>
    <numFmt numFmtId="176" formatCode="[$-409]d/mmm/yyyy;@"/>
    <numFmt numFmtId="177" formatCode="0;[Red]0"/>
  </numFmts>
  <fonts count="76" x14ac:knownFonts="1">
    <font>
      <sz val="11"/>
      <color theme="1"/>
      <name val="Calibri"/>
      <family val="2"/>
      <scheme val="minor"/>
    </font>
    <font>
      <sz val="10"/>
      <color theme="1"/>
      <name val="Eras Medium ITC"/>
      <family val="2"/>
    </font>
    <font>
      <sz val="10"/>
      <color theme="1"/>
      <name val="Eras Medium ITC"/>
      <family val="2"/>
    </font>
    <font>
      <sz val="10"/>
      <color theme="1"/>
      <name val="Eras Medium ITC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u/>
      <sz val="10"/>
      <color theme="1"/>
      <name val="Eras Medium ITC"/>
      <family val="2"/>
    </font>
    <font>
      <b/>
      <sz val="10"/>
      <color theme="1"/>
      <name val="Eras Medium ITC"/>
      <family val="2"/>
    </font>
    <font>
      <sz val="8"/>
      <color theme="1"/>
      <name val="Eras Medium ITC"/>
      <family val="2"/>
    </font>
    <font>
      <b/>
      <u/>
      <sz val="10"/>
      <color theme="0"/>
      <name val="Eras Medium ITC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0"/>
      <color theme="1"/>
      <name val="Calibri"/>
      <family val="2"/>
    </font>
    <font>
      <sz val="9"/>
      <color theme="1"/>
      <name val="Eras Medium ITC"/>
      <family val="2"/>
    </font>
    <font>
      <b/>
      <sz val="9"/>
      <color theme="1"/>
      <name val="Consolas"/>
      <family val="3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u/>
      <sz val="10"/>
      <color theme="1"/>
      <name val="Consolas"/>
      <family val="3"/>
    </font>
    <font>
      <sz val="10"/>
      <color theme="1"/>
      <name val="Consolas"/>
      <family val="3"/>
    </font>
    <font>
      <b/>
      <sz val="8"/>
      <color indexed="81"/>
      <name val="Tahoma"/>
      <family val="2"/>
    </font>
    <font>
      <b/>
      <u/>
      <sz val="9"/>
      <color theme="1"/>
      <name val="Calibri"/>
      <family val="2"/>
      <scheme val="minor"/>
    </font>
    <font>
      <b/>
      <sz val="8"/>
      <color indexed="81"/>
      <name val="Courier New"/>
      <family val="3"/>
    </font>
    <font>
      <sz val="8"/>
      <color indexed="81"/>
      <name val="Courier New"/>
      <family val="3"/>
    </font>
    <font>
      <sz val="9"/>
      <color theme="1"/>
      <name val="Calibri"/>
      <family val="2"/>
    </font>
    <font>
      <b/>
      <u/>
      <sz val="9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u/>
      <sz val="9"/>
      <color theme="1"/>
      <name val="Eras Medium ITC"/>
      <family val="2"/>
    </font>
    <font>
      <sz val="10"/>
      <color indexed="8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1"/>
      <name val="Verdana"/>
      <family val="2"/>
    </font>
    <font>
      <b/>
      <u/>
      <sz val="8"/>
      <color theme="1"/>
      <name val="Verdana"/>
      <family val="2"/>
    </font>
    <font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9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ourier New"/>
      <family val="3"/>
    </font>
    <font>
      <sz val="9"/>
      <color theme="0"/>
      <name val="Calibri"/>
      <family val="2"/>
    </font>
    <font>
      <strike/>
      <sz val="10"/>
      <color rgb="FFFF0000"/>
      <name val="Calibri"/>
      <family val="2"/>
      <scheme val="minor"/>
    </font>
    <font>
      <b/>
      <sz val="10"/>
      <color theme="0"/>
      <name val="Calibri"/>
      <family val="2"/>
    </font>
    <font>
      <b/>
      <sz val="10"/>
      <color theme="1"/>
      <name val="Trebuchet MS"/>
      <family val="2"/>
    </font>
    <font>
      <b/>
      <sz val="10"/>
      <color theme="0"/>
      <name val="Trebuchet MS"/>
      <family val="2"/>
    </font>
    <font>
      <sz val="10"/>
      <color theme="1"/>
      <name val="Trebuchet MS"/>
      <family val="2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ongenial"/>
    </font>
    <font>
      <sz val="9"/>
      <color rgb="FFFF0000"/>
      <name val="Calibri"/>
      <family val="2"/>
    </font>
    <font>
      <sz val="10"/>
      <color rgb="FFFF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CE8CBD"/>
        <bgColor indexed="64"/>
      </patternFill>
    </fill>
    <fill>
      <patternFill patternType="solid">
        <fgColor theme="8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38" fillId="0" borderId="0" applyFont="0" applyFill="0" applyBorder="0" applyAlignment="0" applyProtection="0"/>
    <xf numFmtId="0" fontId="42" fillId="25" borderId="0" applyNumberFormat="0" applyBorder="0" applyAlignment="0" applyProtection="0"/>
    <xf numFmtId="0" fontId="1" fillId="0" borderId="0"/>
    <xf numFmtId="0" fontId="71" fillId="0" borderId="0" applyNumberFormat="0" applyFill="0" applyBorder="0" applyAlignment="0" applyProtection="0"/>
  </cellStyleXfs>
  <cellXfs count="723">
    <xf numFmtId="0" fontId="0" fillId="0" borderId="0" xfId="0"/>
    <xf numFmtId="0" fontId="0" fillId="0" borderId="1" xfId="0" applyBorder="1"/>
    <xf numFmtId="0" fontId="5" fillId="0" borderId="0" xfId="0" applyFont="1"/>
    <xf numFmtId="164" fontId="5" fillId="0" borderId="0" xfId="0" applyNumberFormat="1" applyFont="1"/>
    <xf numFmtId="164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5" fillId="2" borderId="1" xfId="0" applyFont="1" applyFill="1" applyBorder="1"/>
    <xf numFmtId="0" fontId="9" fillId="0" borderId="1" xfId="0" applyFont="1" applyBorder="1"/>
    <xf numFmtId="164" fontId="9" fillId="0" borderId="1" xfId="0" applyNumberFormat="1" applyFont="1" applyBorder="1"/>
    <xf numFmtId="164" fontId="10" fillId="0" borderId="1" xfId="0" applyNumberFormat="1" applyFont="1" applyBorder="1"/>
    <xf numFmtId="164" fontId="0" fillId="0" borderId="0" xfId="0" applyNumberFormat="1"/>
    <xf numFmtId="0" fontId="12" fillId="0" borderId="1" xfId="0" applyFont="1" applyBorder="1"/>
    <xf numFmtId="164" fontId="5" fillId="2" borderId="1" xfId="0" applyNumberFormat="1" applyFont="1" applyFill="1" applyBorder="1"/>
    <xf numFmtId="164" fontId="0" fillId="6" borderId="1" xfId="0" applyNumberFormat="1" applyFill="1" applyBorder="1"/>
    <xf numFmtId="164" fontId="0" fillId="0" borderId="1" xfId="0" applyNumberFormat="1" applyBorder="1"/>
    <xf numFmtId="0" fontId="0" fillId="2" borderId="1" xfId="0" applyFill="1" applyBorder="1"/>
    <xf numFmtId="0" fontId="13" fillId="0" borderId="1" xfId="0" applyFont="1" applyBorder="1"/>
    <xf numFmtId="0" fontId="13" fillId="4" borderId="1" xfId="0" applyFont="1" applyFill="1" applyBorder="1"/>
    <xf numFmtId="164" fontId="14" fillId="0" borderId="1" xfId="0" applyNumberFormat="1" applyFont="1" applyBorder="1"/>
    <xf numFmtId="49" fontId="5" fillId="0" borderId="1" xfId="0" applyNumberFormat="1" applyFont="1" applyBorder="1"/>
    <xf numFmtId="167" fontId="0" fillId="0" borderId="1" xfId="0" applyNumberFormat="1" applyBorder="1"/>
    <xf numFmtId="167" fontId="0" fillId="0" borderId="0" xfId="0" applyNumberFormat="1"/>
    <xf numFmtId="0" fontId="0" fillId="10" borderId="1" xfId="0" applyFill="1" applyBorder="1"/>
    <xf numFmtId="2" fontId="0" fillId="0" borderId="0" xfId="0" applyNumberFormat="1"/>
    <xf numFmtId="0" fontId="2" fillId="0" borderId="0" xfId="0" applyFont="1"/>
    <xf numFmtId="0" fontId="13" fillId="0" borderId="0" xfId="0" applyFont="1"/>
    <xf numFmtId="17" fontId="13" fillId="0" borderId="1" xfId="0" applyNumberFormat="1" applyFont="1" applyBorder="1" applyAlignment="1">
      <alignment horizontal="right"/>
    </xf>
    <xf numFmtId="17" fontId="13" fillId="0" borderId="1" xfId="0" applyNumberFormat="1" applyFont="1" applyBorder="1"/>
    <xf numFmtId="0" fontId="0" fillId="6" borderId="1" xfId="0" applyFill="1" applyBorder="1"/>
    <xf numFmtId="0" fontId="18" fillId="0" borderId="1" xfId="0" applyFont="1" applyBorder="1"/>
    <xf numFmtId="0" fontId="18" fillId="0" borderId="0" xfId="0" applyFont="1"/>
    <xf numFmtId="164" fontId="18" fillId="0" borderId="1" xfId="0" applyNumberFormat="1" applyFont="1" applyBorder="1"/>
    <xf numFmtId="164" fontId="19" fillId="0" borderId="1" xfId="0" applyNumberFormat="1" applyFont="1" applyBorder="1"/>
    <xf numFmtId="0" fontId="20" fillId="0" borderId="1" xfId="0" applyFont="1" applyBorder="1"/>
    <xf numFmtId="164" fontId="0" fillId="14" borderId="1" xfId="0" applyNumberFormat="1" applyFill="1" applyBorder="1"/>
    <xf numFmtId="164" fontId="13" fillId="0" borderId="1" xfId="0" applyNumberFormat="1" applyFont="1" applyBorder="1"/>
    <xf numFmtId="164" fontId="4" fillId="0" borderId="1" xfId="0" applyNumberFormat="1" applyFont="1" applyBorder="1"/>
    <xf numFmtId="0" fontId="4" fillId="0" borderId="1" xfId="0" applyFont="1" applyBorder="1"/>
    <xf numFmtId="164" fontId="0" fillId="15" borderId="1" xfId="0" applyNumberFormat="1" applyFill="1" applyBorder="1"/>
    <xf numFmtId="17" fontId="13" fillId="14" borderId="1" xfId="0" applyNumberFormat="1" applyFont="1" applyFill="1" applyBorder="1"/>
    <xf numFmtId="0" fontId="0" fillId="14" borderId="0" xfId="0" applyFill="1"/>
    <xf numFmtId="17" fontId="13" fillId="1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0" fillId="17" borderId="1" xfId="0" applyFill="1" applyBorder="1"/>
    <xf numFmtId="0" fontId="0" fillId="0" borderId="1" xfId="0" applyBorder="1" applyAlignment="1">
      <alignment wrapText="1"/>
    </xf>
    <xf numFmtId="164" fontId="15" fillId="0" borderId="0" xfId="0" applyNumberFormat="1" applyFont="1"/>
    <xf numFmtId="17" fontId="10" fillId="0" borderId="1" xfId="0" applyNumberFormat="1" applyFont="1" applyBorder="1"/>
    <xf numFmtId="0" fontId="10" fillId="0" borderId="0" xfId="0" applyFont="1"/>
    <xf numFmtId="0" fontId="22" fillId="0" borderId="1" xfId="0" applyFont="1" applyBorder="1"/>
    <xf numFmtId="164" fontId="22" fillId="0" borderId="1" xfId="0" applyNumberFormat="1" applyFont="1" applyBorder="1"/>
    <xf numFmtId="164" fontId="24" fillId="0" borderId="1" xfId="0" applyNumberFormat="1" applyFont="1" applyBorder="1"/>
    <xf numFmtId="0" fontId="24" fillId="5" borderId="1" xfId="0" applyFont="1" applyFill="1" applyBorder="1"/>
    <xf numFmtId="164" fontId="24" fillId="5" borderId="1" xfId="0" applyNumberFormat="1" applyFont="1" applyFill="1" applyBorder="1"/>
    <xf numFmtId="0" fontId="12" fillId="0" borderId="0" xfId="0" applyFont="1"/>
    <xf numFmtId="0" fontId="11" fillId="0" borderId="1" xfId="0" applyFont="1" applyBorder="1"/>
    <xf numFmtId="16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" fontId="12" fillId="0" borderId="1" xfId="0" applyNumberFormat="1" applyFont="1" applyBorder="1"/>
    <xf numFmtId="164" fontId="12" fillId="0" borderId="1" xfId="0" applyNumberFormat="1" applyFont="1" applyBorder="1"/>
    <xf numFmtId="0" fontId="12" fillId="0" borderId="1" xfId="0" applyFont="1" applyBorder="1" applyAlignment="1">
      <alignment vertical="center"/>
    </xf>
    <xf numFmtId="164" fontId="12" fillId="0" borderId="0" xfId="0" applyNumberFormat="1" applyFont="1"/>
    <xf numFmtId="0" fontId="25" fillId="0" borderId="0" xfId="0" applyFont="1"/>
    <xf numFmtId="16" fontId="25" fillId="0" borderId="0" xfId="0" applyNumberFormat="1" applyFont="1"/>
    <xf numFmtId="0" fontId="28" fillId="0" borderId="0" xfId="0" applyFont="1"/>
    <xf numFmtId="0" fontId="27" fillId="0" borderId="1" xfId="0" applyFont="1" applyBorder="1"/>
    <xf numFmtId="0" fontId="28" fillId="0" borderId="1" xfId="0" applyFont="1" applyBorder="1"/>
    <xf numFmtId="164" fontId="28" fillId="0" borderId="1" xfId="0" applyNumberFormat="1" applyFont="1" applyBorder="1"/>
    <xf numFmtId="164" fontId="27" fillId="0" borderId="1" xfId="0" applyNumberFormat="1" applyFont="1" applyBorder="1"/>
    <xf numFmtId="0" fontId="27" fillId="0" borderId="1" xfId="0" applyFont="1" applyBorder="1" applyAlignment="1">
      <alignment horizontal="center"/>
    </xf>
    <xf numFmtId="166" fontId="28" fillId="0" borderId="1" xfId="0" applyNumberFormat="1" applyFont="1" applyBorder="1"/>
    <xf numFmtId="0" fontId="28" fillId="18" borderId="1" xfId="0" applyFont="1" applyFill="1" applyBorder="1"/>
    <xf numFmtId="164" fontId="28" fillId="18" borderId="1" xfId="0" applyNumberFormat="1" applyFont="1" applyFill="1" applyBorder="1"/>
    <xf numFmtId="0" fontId="24" fillId="0" borderId="1" xfId="0" applyFont="1" applyBorder="1"/>
    <xf numFmtId="164" fontId="28" fillId="0" borderId="1" xfId="0" applyNumberFormat="1" applyFont="1" applyBorder="1" applyAlignment="1">
      <alignment horizontal="right"/>
    </xf>
    <xf numFmtId="165" fontId="28" fillId="0" borderId="1" xfId="0" applyNumberFormat="1" applyFont="1" applyBorder="1"/>
    <xf numFmtId="0" fontId="25" fillId="0" borderId="1" xfId="0" applyFont="1" applyBorder="1"/>
    <xf numFmtId="0" fontId="29" fillId="0" borderId="1" xfId="0" applyFont="1" applyBorder="1"/>
    <xf numFmtId="0" fontId="30" fillId="0" borderId="1" xfId="0" applyFont="1" applyBorder="1" applyAlignment="1">
      <alignment wrapText="1"/>
    </xf>
    <xf numFmtId="16" fontId="30" fillId="0" borderId="1" xfId="0" applyNumberFormat="1" applyFont="1" applyBorder="1" applyAlignment="1">
      <alignment horizontal="right"/>
    </xf>
    <xf numFmtId="0" fontId="30" fillId="0" borderId="1" xfId="0" applyFont="1" applyBorder="1"/>
    <xf numFmtId="0" fontId="30" fillId="0" borderId="0" xfId="0" applyFont="1"/>
    <xf numFmtId="0" fontId="28" fillId="6" borderId="1" xfId="0" applyFont="1" applyFill="1" applyBorder="1"/>
    <xf numFmtId="0" fontId="0" fillId="14" borderId="1" xfId="0" applyFill="1" applyBorder="1"/>
    <xf numFmtId="0" fontId="5" fillId="0" borderId="0" xfId="0" applyFont="1" applyAlignment="1">
      <alignment wrapText="1"/>
    </xf>
    <xf numFmtId="0" fontId="5" fillId="11" borderId="1" xfId="0" applyFont="1" applyFill="1" applyBorder="1" applyAlignment="1">
      <alignment horizontal="left"/>
    </xf>
    <xf numFmtId="164" fontId="10" fillId="0" borderId="0" xfId="0" applyNumberFormat="1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17" fontId="10" fillId="20" borderId="1" xfId="0" applyNumberFormat="1" applyFont="1" applyFill="1" applyBorder="1"/>
    <xf numFmtId="164" fontId="10" fillId="20" borderId="1" xfId="0" applyNumberFormat="1" applyFont="1" applyFill="1" applyBorder="1"/>
    <xf numFmtId="0" fontId="10" fillId="0" borderId="1" xfId="0" applyFont="1" applyBorder="1"/>
    <xf numFmtId="0" fontId="32" fillId="0" borderId="1" xfId="0" applyFont="1" applyBorder="1"/>
    <xf numFmtId="164" fontId="25" fillId="0" borderId="0" xfId="0" applyNumberFormat="1" applyFont="1"/>
    <xf numFmtId="166" fontId="25" fillId="0" borderId="0" xfId="0" applyNumberFormat="1" applyFont="1"/>
    <xf numFmtId="0" fontId="5" fillId="0" borderId="1" xfId="0" applyFont="1" applyBorder="1" applyAlignment="1">
      <alignment horizontal="left"/>
    </xf>
    <xf numFmtId="2" fontId="10" fillId="0" borderId="1" xfId="0" applyNumberFormat="1" applyFont="1" applyBorder="1"/>
    <xf numFmtId="14" fontId="12" fillId="0" borderId="1" xfId="0" applyNumberFormat="1" applyFont="1" applyBorder="1"/>
    <xf numFmtId="164" fontId="28" fillId="5" borderId="1" xfId="0" applyNumberFormat="1" applyFont="1" applyFill="1" applyBorder="1"/>
    <xf numFmtId="0" fontId="28" fillId="5" borderId="1" xfId="0" applyFont="1" applyFill="1" applyBorder="1"/>
    <xf numFmtId="165" fontId="5" fillId="0" borderId="1" xfId="0" applyNumberFormat="1" applyFont="1" applyBorder="1"/>
    <xf numFmtId="167" fontId="5" fillId="0" borderId="1" xfId="0" applyNumberFormat="1" applyFont="1" applyBorder="1"/>
    <xf numFmtId="0" fontId="5" fillId="0" borderId="0" xfId="0" applyFont="1" applyAlignment="1">
      <alignment horizontal="center"/>
    </xf>
    <xf numFmtId="0" fontId="13" fillId="0" borderId="1" xfId="0" applyFont="1" applyBorder="1" applyAlignment="1">
      <alignment horizontal="right"/>
    </xf>
    <xf numFmtId="2" fontId="10" fillId="0" borderId="0" xfId="0" applyNumberFormat="1" applyFont="1"/>
    <xf numFmtId="0" fontId="35" fillId="2" borderId="1" xfId="0" applyFont="1" applyFill="1" applyBorder="1"/>
    <xf numFmtId="164" fontId="35" fillId="2" borderId="1" xfId="0" applyNumberFormat="1" applyFont="1" applyFill="1" applyBorder="1"/>
    <xf numFmtId="0" fontId="36" fillId="0" borderId="1" xfId="0" applyFont="1" applyBorder="1" applyAlignment="1">
      <alignment horizontal="center"/>
    </xf>
    <xf numFmtId="0" fontId="25" fillId="0" borderId="15" xfId="0" applyFont="1" applyBorder="1"/>
    <xf numFmtId="0" fontId="27" fillId="0" borderId="15" xfId="0" applyFont="1" applyBorder="1" applyAlignment="1">
      <alignment horizontal="center"/>
    </xf>
    <xf numFmtId="0" fontId="25" fillId="0" borderId="15" xfId="0" applyFont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64" fontId="0" fillId="2" borderId="1" xfId="0" applyNumberFormat="1" applyFill="1" applyBorder="1"/>
    <xf numFmtId="4" fontId="10" fillId="0" borderId="0" xfId="0" applyNumberFormat="1" applyFont="1"/>
    <xf numFmtId="165" fontId="16" fillId="0" borderId="1" xfId="0" applyNumberFormat="1" applyFont="1" applyBorder="1"/>
    <xf numFmtId="167" fontId="10" fillId="0" borderId="1" xfId="0" applyNumberFormat="1" applyFont="1" applyBorder="1"/>
    <xf numFmtId="167" fontId="22" fillId="0" borderId="1" xfId="0" applyNumberFormat="1" applyFont="1" applyBorder="1"/>
    <xf numFmtId="164" fontId="0" fillId="0" borderId="13" xfId="0" applyNumberFormat="1" applyBorder="1"/>
    <xf numFmtId="164" fontId="0" fillId="10" borderId="1" xfId="0" applyNumberFormat="1" applyFill="1" applyBorder="1"/>
    <xf numFmtId="4" fontId="0" fillId="0" borderId="0" xfId="0" applyNumberFormat="1"/>
    <xf numFmtId="4" fontId="0" fillId="0" borderId="1" xfId="0" applyNumberFormat="1" applyBorder="1"/>
    <xf numFmtId="164" fontId="14" fillId="0" borderId="0" xfId="0" applyNumberFormat="1" applyFont="1"/>
    <xf numFmtId="0" fontId="13" fillId="10" borderId="1" xfId="0" applyFont="1" applyFill="1" applyBorder="1"/>
    <xf numFmtId="17" fontId="13" fillId="10" borderId="1" xfId="0" applyNumberFormat="1" applyFont="1" applyFill="1" applyBorder="1"/>
    <xf numFmtId="4" fontId="5" fillId="0" borderId="0" xfId="0" applyNumberFormat="1" applyFont="1"/>
    <xf numFmtId="0" fontId="9" fillId="0" borderId="0" xfId="0" applyFont="1" applyAlignment="1">
      <alignment wrapText="1"/>
    </xf>
    <xf numFmtId="4" fontId="9" fillId="0" borderId="0" xfId="0" applyNumberFormat="1" applyFont="1"/>
    <xf numFmtId="0" fontId="22" fillId="0" borderId="0" xfId="0" applyFont="1"/>
    <xf numFmtId="0" fontId="0" fillId="12" borderId="1" xfId="0" applyFill="1" applyBorder="1"/>
    <xf numFmtId="17" fontId="0" fillId="0" borderId="1" xfId="0" applyNumberFormat="1" applyBorder="1"/>
    <xf numFmtId="0" fontId="0" fillId="12" borderId="3" xfId="0" applyFill="1" applyBorder="1"/>
    <xf numFmtId="4" fontId="25" fillId="0" borderId="0" xfId="0" applyNumberFormat="1" applyFont="1"/>
    <xf numFmtId="164" fontId="14" fillId="0" borderId="1" xfId="0" applyNumberFormat="1" applyFont="1" applyBorder="1" applyAlignment="1">
      <alignment wrapText="1"/>
    </xf>
    <xf numFmtId="164" fontId="12" fillId="21" borderId="1" xfId="0" applyNumberFormat="1" applyFont="1" applyFill="1" applyBorder="1"/>
    <xf numFmtId="0" fontId="0" fillId="0" borderId="14" xfId="0" applyBorder="1"/>
    <xf numFmtId="0" fontId="13" fillId="0" borderId="4" xfId="0" applyFont="1" applyBorder="1"/>
    <xf numFmtId="164" fontId="0" fillId="0" borderId="5" xfId="0" applyNumberFormat="1" applyBorder="1"/>
    <xf numFmtId="0" fontId="13" fillId="0" borderId="6" xfId="0" applyFont="1" applyBorder="1"/>
    <xf numFmtId="164" fontId="0" fillId="0" borderId="7" xfId="0" applyNumberFormat="1" applyBorder="1"/>
    <xf numFmtId="0" fontId="0" fillId="0" borderId="7" xfId="0" applyBorder="1"/>
    <xf numFmtId="0" fontId="13" fillId="0" borderId="8" xfId="0" applyFont="1" applyBorder="1"/>
    <xf numFmtId="164" fontId="0" fillId="0" borderId="9" xfId="0" applyNumberFormat="1" applyBorder="1"/>
    <xf numFmtId="0" fontId="21" fillId="6" borderId="1" xfId="0" applyFont="1" applyFill="1" applyBorder="1"/>
    <xf numFmtId="17" fontId="21" fillId="6" borderId="1" xfId="0" applyNumberFormat="1" applyFont="1" applyFill="1" applyBorder="1"/>
    <xf numFmtId="164" fontId="37" fillId="6" borderId="1" xfId="0" applyNumberFormat="1" applyFont="1" applyFill="1" applyBorder="1"/>
    <xf numFmtId="0" fontId="0" fillId="0" borderId="9" xfId="0" applyBorder="1"/>
    <xf numFmtId="164" fontId="5" fillId="18" borderId="1" xfId="0" applyNumberFormat="1" applyFont="1" applyFill="1" applyBorder="1"/>
    <xf numFmtId="0" fontId="5" fillId="18" borderId="1" xfId="0" applyFont="1" applyFill="1" applyBorder="1"/>
    <xf numFmtId="10" fontId="28" fillId="0" borderId="0" xfId="2" applyNumberFormat="1" applyFont="1"/>
    <xf numFmtId="17" fontId="0" fillId="14" borderId="1" xfId="0" applyNumberFormat="1" applyFill="1" applyBorder="1"/>
    <xf numFmtId="0" fontId="39" fillId="0" borderId="1" xfId="0" applyFont="1" applyBorder="1"/>
    <xf numFmtId="164" fontId="39" fillId="0" borderId="1" xfId="0" applyNumberFormat="1" applyFont="1" applyBorder="1"/>
    <xf numFmtId="164" fontId="0" fillId="14" borderId="0" xfId="0" applyNumberFormat="1" applyFill="1"/>
    <xf numFmtId="168" fontId="5" fillId="0" borderId="1" xfId="0" applyNumberFormat="1" applyFont="1" applyBorder="1"/>
    <xf numFmtId="167" fontId="9" fillId="0" borderId="1" xfId="0" applyNumberFormat="1" applyFont="1" applyBorder="1"/>
    <xf numFmtId="0" fontId="27" fillId="0" borderId="0" xfId="0" applyFont="1" applyAlignment="1">
      <alignment horizontal="center"/>
    </xf>
    <xf numFmtId="0" fontId="28" fillId="0" borderId="0" xfId="0" applyFont="1" applyAlignment="1">
      <alignment vertical="center"/>
    </xf>
    <xf numFmtId="164" fontId="28" fillId="0" borderId="0" xfId="0" applyNumberFormat="1" applyFont="1"/>
    <xf numFmtId="166" fontId="28" fillId="0" borderId="0" xfId="0" applyNumberFormat="1" applyFont="1"/>
    <xf numFmtId="167" fontId="5" fillId="0" borderId="0" xfId="0" applyNumberFormat="1" applyFont="1"/>
    <xf numFmtId="16" fontId="28" fillId="0" borderId="0" xfId="0" applyNumberFormat="1" applyFont="1"/>
    <xf numFmtId="167" fontId="25" fillId="0" borderId="1" xfId="0" applyNumberFormat="1" applyFont="1" applyBorder="1"/>
    <xf numFmtId="14" fontId="0" fillId="0" borderId="0" xfId="0" applyNumberFormat="1"/>
    <xf numFmtId="4" fontId="5" fillId="0" borderId="1" xfId="0" applyNumberFormat="1" applyFont="1" applyBorder="1"/>
    <xf numFmtId="17" fontId="13" fillId="0" borderId="0" xfId="0" applyNumberFormat="1" applyFont="1"/>
    <xf numFmtId="16" fontId="0" fillId="0" borderId="0" xfId="0" applyNumberFormat="1"/>
    <xf numFmtId="15" fontId="0" fillId="0" borderId="0" xfId="0" applyNumberFormat="1"/>
    <xf numFmtId="0" fontId="0" fillId="12" borderId="0" xfId="0" applyFill="1"/>
    <xf numFmtId="15" fontId="0" fillId="0" borderId="1" xfId="0" applyNumberFormat="1" applyBorder="1"/>
    <xf numFmtId="164" fontId="0" fillId="0" borderId="14" xfId="0" applyNumberFormat="1" applyBorder="1"/>
    <xf numFmtId="0" fontId="9" fillId="0" borderId="0" xfId="0" applyFont="1"/>
    <xf numFmtId="168" fontId="9" fillId="0" borderId="1" xfId="0" applyNumberFormat="1" applyFont="1" applyBorder="1" applyAlignment="1">
      <alignment horizontal="right"/>
    </xf>
    <xf numFmtId="0" fontId="13" fillId="14" borderId="1" xfId="0" applyFont="1" applyFill="1" applyBorder="1"/>
    <xf numFmtId="166" fontId="28" fillId="18" borderId="1" xfId="0" applyNumberFormat="1" applyFont="1" applyFill="1" applyBorder="1"/>
    <xf numFmtId="167" fontId="25" fillId="0" borderId="0" xfId="0" applyNumberFormat="1" applyFont="1"/>
    <xf numFmtId="2" fontId="5" fillId="0" borderId="0" xfId="0" applyNumberFormat="1" applyFont="1" applyAlignment="1">
      <alignment vertical="center"/>
    </xf>
    <xf numFmtId="2" fontId="5" fillId="0" borderId="0" xfId="0" applyNumberFormat="1" applyFont="1"/>
    <xf numFmtId="0" fontId="28" fillId="0" borderId="1" xfId="0" applyFont="1" applyBorder="1" applyAlignment="1">
      <alignment horizontal="center"/>
    </xf>
    <xf numFmtId="164" fontId="1" fillId="7" borderId="1" xfId="0" applyNumberFormat="1" applyFont="1" applyFill="1" applyBorder="1"/>
    <xf numFmtId="16" fontId="0" fillId="0" borderId="1" xfId="0" applyNumberFormat="1" applyBorder="1"/>
    <xf numFmtId="9" fontId="28" fillId="0" borderId="0" xfId="2" applyFont="1"/>
    <xf numFmtId="164" fontId="28" fillId="0" borderId="13" xfId="0" applyNumberFormat="1" applyFont="1" applyBorder="1" applyAlignment="1">
      <alignment horizontal="right" vertical="center"/>
    </xf>
    <xf numFmtId="0" fontId="28" fillId="0" borderId="1" xfId="0" applyFont="1" applyBorder="1" applyAlignment="1">
      <alignment horizontal="center" vertical="center"/>
    </xf>
    <xf numFmtId="167" fontId="5" fillId="16" borderId="1" xfId="0" applyNumberFormat="1" applyFont="1" applyFill="1" applyBorder="1"/>
    <xf numFmtId="164" fontId="0" fillId="22" borderId="1" xfId="0" applyNumberFormat="1" applyFill="1" applyBorder="1"/>
    <xf numFmtId="166" fontId="25" fillId="0" borderId="15" xfId="0" applyNumberFormat="1" applyFont="1" applyBorder="1" applyAlignment="1">
      <alignment horizontal="right" vertical="center"/>
    </xf>
    <xf numFmtId="164" fontId="28" fillId="0" borderId="12" xfId="0" applyNumberFormat="1" applyFont="1" applyBorder="1"/>
    <xf numFmtId="0" fontId="39" fillId="0" borderId="0" xfId="0" applyFont="1"/>
    <xf numFmtId="0" fontId="43" fillId="0" borderId="1" xfId="0" applyFont="1" applyBorder="1"/>
    <xf numFmtId="169" fontId="39" fillId="0" borderId="1" xfId="0" applyNumberFormat="1" applyFont="1" applyBorder="1"/>
    <xf numFmtId="0" fontId="43" fillId="0" borderId="1" xfId="0" applyFont="1" applyBorder="1" applyAlignment="1">
      <alignment wrapText="1"/>
    </xf>
    <xf numFmtId="164" fontId="39" fillId="0" borderId="0" xfId="0" applyNumberFormat="1" applyFont="1"/>
    <xf numFmtId="0" fontId="0" fillId="0" borderId="13" xfId="0" applyBorder="1"/>
    <xf numFmtId="0" fontId="43" fillId="0" borderId="0" xfId="0" applyFont="1" applyAlignment="1">
      <alignment wrapText="1"/>
    </xf>
    <xf numFmtId="164" fontId="6" fillId="0" borderId="0" xfId="0" applyNumberFormat="1" applyFont="1"/>
    <xf numFmtId="4" fontId="0" fillId="14" borderId="1" xfId="0" applyNumberFormat="1" applyFill="1" applyBorder="1"/>
    <xf numFmtId="0" fontId="22" fillId="5" borderId="1" xfId="0" applyFont="1" applyFill="1" applyBorder="1"/>
    <xf numFmtId="0" fontId="43" fillId="15" borderId="1" xfId="0" applyFont="1" applyFill="1" applyBorder="1"/>
    <xf numFmtId="164" fontId="39" fillId="15" borderId="1" xfId="0" applyNumberFormat="1" applyFont="1" applyFill="1" applyBorder="1"/>
    <xf numFmtId="16" fontId="39" fillId="0" borderId="1" xfId="0" applyNumberFormat="1" applyFont="1" applyBorder="1"/>
    <xf numFmtId="0" fontId="0" fillId="0" borderId="1" xfId="0" applyBorder="1" applyAlignment="1">
      <alignment horizontal="center"/>
    </xf>
    <xf numFmtId="167" fontId="39" fillId="0" borderId="1" xfId="0" applyNumberFormat="1" applyFont="1" applyBorder="1"/>
    <xf numFmtId="169" fontId="0" fillId="0" borderId="1" xfId="0" applyNumberFormat="1" applyBorder="1"/>
    <xf numFmtId="0" fontId="39" fillId="23" borderId="2" xfId="0" applyFont="1" applyFill="1" applyBorder="1"/>
    <xf numFmtId="164" fontId="39" fillId="23" borderId="2" xfId="0" applyNumberFormat="1" applyFont="1" applyFill="1" applyBorder="1"/>
    <xf numFmtId="0" fontId="39" fillId="24" borderId="1" xfId="0" applyFont="1" applyFill="1" applyBorder="1"/>
    <xf numFmtId="4" fontId="39" fillId="26" borderId="1" xfId="0" applyNumberFormat="1" applyFont="1" applyFill="1" applyBorder="1"/>
    <xf numFmtId="4" fontId="39" fillId="0" borderId="1" xfId="0" applyNumberFormat="1" applyFont="1" applyBorder="1"/>
    <xf numFmtId="4" fontId="39" fillId="11" borderId="1" xfId="0" applyNumberFormat="1" applyFont="1" applyFill="1" applyBorder="1"/>
    <xf numFmtId="16" fontId="39" fillId="0" borderId="0" xfId="0" applyNumberFormat="1" applyFont="1"/>
    <xf numFmtId="0" fontId="43" fillId="0" borderId="0" xfId="0" applyFont="1" applyAlignment="1">
      <alignment horizontal="center"/>
    </xf>
    <xf numFmtId="0" fontId="0" fillId="0" borderId="11" xfId="0" applyBorder="1" applyAlignment="1">
      <alignment horizontal="left"/>
    </xf>
    <xf numFmtId="0" fontId="39" fillId="0" borderId="2" xfId="0" applyFont="1" applyBorder="1"/>
    <xf numFmtId="0" fontId="0" fillId="0" borderId="2" xfId="0" applyBorder="1"/>
    <xf numFmtId="0" fontId="6" fillId="0" borderId="3" xfId="0" applyFont="1" applyBorder="1"/>
    <xf numFmtId="165" fontId="5" fillId="0" borderId="0" xfId="0" applyNumberFormat="1" applyFont="1"/>
    <xf numFmtId="0" fontId="5" fillId="0" borderId="3" xfId="0" applyFont="1" applyBorder="1"/>
    <xf numFmtId="14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5" fontId="5" fillId="0" borderId="3" xfId="0" applyNumberFormat="1" applyFont="1" applyBorder="1"/>
    <xf numFmtId="165" fontId="5" fillId="0" borderId="13" xfId="0" applyNumberFormat="1" applyFont="1" applyBorder="1"/>
    <xf numFmtId="0" fontId="6" fillId="0" borderId="11" xfId="0" applyFont="1" applyBorder="1"/>
    <xf numFmtId="0" fontId="5" fillId="0" borderId="11" xfId="0" applyFont="1" applyBorder="1"/>
    <xf numFmtId="0" fontId="5" fillId="0" borderId="1" xfId="0" applyFont="1" applyBorder="1" applyAlignment="1">
      <alignment wrapText="1"/>
    </xf>
    <xf numFmtId="15" fontId="5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wrapText="1"/>
    </xf>
    <xf numFmtId="164" fontId="26" fillId="0" borderId="0" xfId="0" applyNumberFormat="1" applyFont="1"/>
    <xf numFmtId="0" fontId="6" fillId="0" borderId="0" xfId="0" applyFont="1" applyAlignment="1">
      <alignment horizontal="center" vertical="center"/>
    </xf>
    <xf numFmtId="17" fontId="45" fillId="3" borderId="1" xfId="0" applyNumberFormat="1" applyFont="1" applyFill="1" applyBorder="1" applyAlignment="1">
      <alignment horizontal="center" vertical="center" wrapText="1"/>
    </xf>
    <xf numFmtId="17" fontId="45" fillId="3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/>
    <xf numFmtId="164" fontId="5" fillId="10" borderId="1" xfId="0" applyNumberFormat="1" applyFont="1" applyFill="1" applyBorder="1"/>
    <xf numFmtId="164" fontId="5" fillId="5" borderId="1" xfId="0" applyNumberFormat="1" applyFont="1" applyFill="1" applyBorder="1"/>
    <xf numFmtId="0" fontId="5" fillId="20" borderId="1" xfId="0" applyFont="1" applyFill="1" applyBorder="1"/>
    <xf numFmtId="164" fontId="5" fillId="14" borderId="1" xfId="0" applyNumberFormat="1" applyFont="1" applyFill="1" applyBorder="1"/>
    <xf numFmtId="164" fontId="5" fillId="0" borderId="12" xfId="0" applyNumberFormat="1" applyFont="1" applyBorder="1"/>
    <xf numFmtId="164" fontId="5" fillId="0" borderId="16" xfId="0" applyNumberFormat="1" applyFont="1" applyBorder="1"/>
    <xf numFmtId="0" fontId="5" fillId="0" borderId="1" xfId="0" applyFont="1" applyBorder="1" applyAlignment="1">
      <alignment horizontal="right"/>
    </xf>
    <xf numFmtId="164" fontId="5" fillId="0" borderId="2" xfId="0" applyNumberFormat="1" applyFont="1" applyBorder="1"/>
    <xf numFmtId="0" fontId="5" fillId="8" borderId="0" xfId="0" applyFont="1" applyFill="1"/>
    <xf numFmtId="0" fontId="48" fillId="8" borderId="0" xfId="0" applyFont="1" applyFill="1"/>
    <xf numFmtId="16" fontId="5" fillId="0" borderId="1" xfId="0" applyNumberFormat="1" applyFont="1" applyBorder="1"/>
    <xf numFmtId="164" fontId="46" fillId="0" borderId="1" xfId="0" applyNumberFormat="1" applyFont="1" applyBorder="1" applyAlignment="1">
      <alignment horizontal="right" vertical="center" wrapText="1"/>
    </xf>
    <xf numFmtId="0" fontId="4" fillId="0" borderId="13" xfId="0" applyFont="1" applyBorder="1"/>
    <xf numFmtId="10" fontId="0" fillId="0" borderId="0" xfId="0" applyNumberFormat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11" fillId="0" borderId="3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11" fillId="0" borderId="0" xfId="0" applyFont="1" applyAlignment="1">
      <alignment wrapText="1"/>
    </xf>
    <xf numFmtId="0" fontId="12" fillId="2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49" fontId="12" fillId="0" borderId="1" xfId="0" applyNumberFormat="1" applyFont="1" applyBorder="1" applyAlignment="1">
      <alignment vertical="center" wrapText="1"/>
    </xf>
    <xf numFmtId="1" fontId="12" fillId="0" borderId="1" xfId="0" applyNumberFormat="1" applyFont="1" applyBorder="1" applyAlignment="1">
      <alignment horizontal="right" vertical="center" wrapText="1"/>
    </xf>
    <xf numFmtId="1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/>
    <xf numFmtId="2" fontId="12" fillId="0" borderId="1" xfId="0" applyNumberFormat="1" applyFont="1" applyBorder="1" applyAlignment="1">
      <alignment vertical="center"/>
    </xf>
    <xf numFmtId="2" fontId="12" fillId="20" borderId="1" xfId="0" applyNumberFormat="1" applyFont="1" applyFill="1" applyBorder="1" applyAlignment="1">
      <alignment vertical="center"/>
    </xf>
    <xf numFmtId="2" fontId="12" fillId="7" borderId="1" xfId="0" applyNumberFormat="1" applyFont="1" applyFill="1" applyBorder="1" applyAlignment="1">
      <alignment horizontal="right" vertical="center"/>
    </xf>
    <xf numFmtId="164" fontId="12" fillId="0" borderId="1" xfId="0" applyNumberFormat="1" applyFont="1" applyBorder="1" applyAlignment="1">
      <alignment vertical="center"/>
    </xf>
    <xf numFmtId="170" fontId="12" fillId="0" borderId="1" xfId="0" applyNumberFormat="1" applyFont="1" applyBorder="1" applyAlignment="1">
      <alignment vertical="center"/>
    </xf>
    <xf numFmtId="2" fontId="12" fillId="0" borderId="3" xfId="0" applyNumberFormat="1" applyFont="1" applyBorder="1" applyAlignment="1">
      <alignment vertical="center"/>
    </xf>
    <xf numFmtId="0" fontId="12" fillId="27" borderId="1" xfId="0" applyFont="1" applyFill="1" applyBorder="1" applyAlignment="1">
      <alignment vertical="center"/>
    </xf>
    <xf numFmtId="1" fontId="12" fillId="27" borderId="1" xfId="0" applyNumberFormat="1" applyFont="1" applyFill="1" applyBorder="1" applyAlignment="1">
      <alignment horizontal="right" vertical="center" wrapText="1"/>
    </xf>
    <xf numFmtId="49" fontId="12" fillId="0" borderId="1" xfId="0" applyNumberFormat="1" applyFont="1" applyBorder="1"/>
    <xf numFmtId="0" fontId="12" fillId="0" borderId="1" xfId="0" applyFont="1" applyBorder="1" applyAlignment="1">
      <alignment horizontal="right"/>
    </xf>
    <xf numFmtId="2" fontId="12" fillId="0" borderId="1" xfId="0" applyNumberFormat="1" applyFont="1" applyBorder="1"/>
    <xf numFmtId="2" fontId="12" fillId="20" borderId="1" xfId="0" applyNumberFormat="1" applyFont="1" applyFill="1" applyBorder="1"/>
    <xf numFmtId="2" fontId="12" fillId="7" borderId="1" xfId="0" applyNumberFormat="1" applyFont="1" applyFill="1" applyBorder="1"/>
    <xf numFmtId="2" fontId="12" fillId="0" borderId="0" xfId="0" applyNumberFormat="1" applyFont="1"/>
    <xf numFmtId="1" fontId="12" fillId="0" borderId="1" xfId="0" applyNumberFormat="1" applyFont="1" applyBorder="1" applyAlignment="1">
      <alignment horizontal="right"/>
    </xf>
    <xf numFmtId="0" fontId="12" fillId="5" borderId="1" xfId="0" applyFont="1" applyFill="1" applyBorder="1" applyAlignment="1">
      <alignment vertical="center"/>
    </xf>
    <xf numFmtId="0" fontId="12" fillId="5" borderId="1" xfId="0" applyFont="1" applyFill="1" applyBorder="1"/>
    <xf numFmtId="49" fontId="12" fillId="5" borderId="1" xfId="0" applyNumberFormat="1" applyFont="1" applyFill="1" applyBorder="1"/>
    <xf numFmtId="0" fontId="12" fillId="0" borderId="0" xfId="0" applyFont="1" applyAlignment="1">
      <alignment vertical="center"/>
    </xf>
    <xf numFmtId="49" fontId="12" fillId="0" borderId="0" xfId="0" applyNumberFormat="1" applyFont="1"/>
    <xf numFmtId="0" fontId="12" fillId="0" borderId="0" xfId="0" applyFont="1" applyAlignment="1">
      <alignment horizontal="right"/>
    </xf>
    <xf numFmtId="0" fontId="24" fillId="0" borderId="1" xfId="0" applyFont="1" applyBorder="1" applyAlignment="1">
      <alignment wrapText="1"/>
    </xf>
    <xf numFmtId="2" fontId="24" fillId="0" borderId="1" xfId="0" applyNumberFormat="1" applyFont="1" applyBorder="1"/>
    <xf numFmtId="2" fontId="24" fillId="0" borderId="12" xfId="0" applyNumberFormat="1" applyFont="1" applyBorder="1"/>
    <xf numFmtId="2" fontId="51" fillId="0" borderId="1" xfId="0" applyNumberFormat="1" applyFont="1" applyBorder="1"/>
    <xf numFmtId="0" fontId="24" fillId="0" borderId="0" xfId="0" applyFont="1"/>
    <xf numFmtId="0" fontId="24" fillId="0" borderId="0" xfId="0" applyFont="1" applyAlignment="1">
      <alignment horizontal="right"/>
    </xf>
    <xf numFmtId="2" fontId="24" fillId="0" borderId="0" xfId="0" applyNumberFormat="1" applyFont="1"/>
    <xf numFmtId="0" fontId="12" fillId="0" borderId="0" xfId="4" applyFont="1"/>
    <xf numFmtId="164" fontId="12" fillId="10" borderId="1" xfId="0" applyNumberFormat="1" applyFont="1" applyFill="1" applyBorder="1"/>
    <xf numFmtId="164" fontId="12" fillId="0" borderId="0" xfId="4" applyNumberFormat="1" applyFont="1" applyAlignment="1">
      <alignment horizontal="right"/>
    </xf>
    <xf numFmtId="4" fontId="12" fillId="0" borderId="0" xfId="0" applyNumberFormat="1" applyFont="1"/>
    <xf numFmtId="164" fontId="24" fillId="0" borderId="0" xfId="0" applyNumberFormat="1" applyFont="1"/>
    <xf numFmtId="17" fontId="12" fillId="0" borderId="0" xfId="0" applyNumberFormat="1" applyFont="1"/>
    <xf numFmtId="16" fontId="12" fillId="0" borderId="1" xfId="0" applyNumberFormat="1" applyFont="1" applyBorder="1" applyAlignment="1">
      <alignment vertical="center"/>
    </xf>
    <xf numFmtId="164" fontId="54" fillId="0" borderId="0" xfId="0" applyNumberFormat="1" applyFont="1"/>
    <xf numFmtId="0" fontId="54" fillId="0" borderId="0" xfId="0" applyFont="1"/>
    <xf numFmtId="164" fontId="54" fillId="0" borderId="1" xfId="0" applyNumberFormat="1" applyFont="1" applyBorder="1"/>
    <xf numFmtId="0" fontId="54" fillId="0" borderId="1" xfId="0" applyFont="1" applyBorder="1"/>
    <xf numFmtId="164" fontId="53" fillId="0" borderId="1" xfId="0" applyNumberFormat="1" applyFont="1" applyBorder="1"/>
    <xf numFmtId="16" fontId="54" fillId="0" borderId="1" xfId="0" applyNumberFormat="1" applyFont="1" applyBorder="1"/>
    <xf numFmtId="164" fontId="54" fillId="14" borderId="1" xfId="0" applyNumberFormat="1" applyFont="1" applyFill="1" applyBorder="1"/>
    <xf numFmtId="164" fontId="12" fillId="26" borderId="1" xfId="0" applyNumberFormat="1" applyFont="1" applyFill="1" applyBorder="1"/>
    <xf numFmtId="164" fontId="12" fillId="28" borderId="1" xfId="0" applyNumberFormat="1" applyFont="1" applyFill="1" applyBorder="1"/>
    <xf numFmtId="17" fontId="12" fillId="12" borderId="1" xfId="0" applyNumberFormat="1" applyFont="1" applyFill="1" applyBorder="1"/>
    <xf numFmtId="164" fontId="12" fillId="17" borderId="1" xfId="0" applyNumberFormat="1" applyFont="1" applyFill="1" applyBorder="1"/>
    <xf numFmtId="164" fontId="12" fillId="29" borderId="1" xfId="0" applyNumberFormat="1" applyFont="1" applyFill="1" applyBorder="1"/>
    <xf numFmtId="164" fontId="12" fillId="23" borderId="1" xfId="0" applyNumberFormat="1" applyFont="1" applyFill="1" applyBorder="1"/>
    <xf numFmtId="164" fontId="12" fillId="20" borderId="1" xfId="0" applyNumberFormat="1" applyFont="1" applyFill="1" applyBorder="1"/>
    <xf numFmtId="164" fontId="12" fillId="31" borderId="1" xfId="0" applyNumberFormat="1" applyFont="1" applyFill="1" applyBorder="1"/>
    <xf numFmtId="0" fontId="12" fillId="20" borderId="0" xfId="0" applyFont="1" applyFill="1"/>
    <xf numFmtId="164" fontId="12" fillId="24" borderId="1" xfId="0" applyNumberFormat="1" applyFont="1" applyFill="1" applyBorder="1"/>
    <xf numFmtId="49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 wrapText="1"/>
    </xf>
    <xf numFmtId="164" fontId="12" fillId="19" borderId="1" xfId="0" applyNumberFormat="1" applyFont="1" applyFill="1" applyBorder="1"/>
    <xf numFmtId="164" fontId="12" fillId="12" borderId="1" xfId="0" applyNumberFormat="1" applyFont="1" applyFill="1" applyBorder="1"/>
    <xf numFmtId="164" fontId="12" fillId="7" borderId="1" xfId="0" applyNumberFormat="1" applyFont="1" applyFill="1" applyBorder="1"/>
    <xf numFmtId="0" fontId="12" fillId="31" borderId="1" xfId="0" applyFont="1" applyFill="1" applyBorder="1"/>
    <xf numFmtId="0" fontId="12" fillId="22" borderId="1" xfId="0" applyFont="1" applyFill="1" applyBorder="1"/>
    <xf numFmtId="0" fontId="12" fillId="12" borderId="1" xfId="0" applyFont="1" applyFill="1" applyBorder="1"/>
    <xf numFmtId="0" fontId="11" fillId="0" borderId="0" xfId="0" applyFont="1"/>
    <xf numFmtId="167" fontId="11" fillId="12" borderId="1" xfId="0" applyNumberFormat="1" applyFont="1" applyFill="1" applyBorder="1"/>
    <xf numFmtId="0" fontId="11" fillId="12" borderId="1" xfId="0" applyFont="1" applyFill="1" applyBorder="1"/>
    <xf numFmtId="0" fontId="9" fillId="12" borderId="1" xfId="0" applyFont="1" applyFill="1" applyBorder="1"/>
    <xf numFmtId="0" fontId="9" fillId="14" borderId="1" xfId="0" applyFont="1" applyFill="1" applyBorder="1"/>
    <xf numFmtId="164" fontId="9" fillId="14" borderId="1" xfId="0" applyNumberFormat="1" applyFont="1" applyFill="1" applyBorder="1"/>
    <xf numFmtId="0" fontId="6" fillId="0" borderId="0" xfId="0" applyFont="1"/>
    <xf numFmtId="164" fontId="5" fillId="30" borderId="1" xfId="0" applyNumberFormat="1" applyFont="1" applyFill="1" applyBorder="1"/>
    <xf numFmtId="167" fontId="5" fillId="30" borderId="1" xfId="0" applyNumberFormat="1" applyFont="1" applyFill="1" applyBorder="1"/>
    <xf numFmtId="17" fontId="22" fillId="0" borderId="1" xfId="0" applyNumberFormat="1" applyFont="1" applyBorder="1"/>
    <xf numFmtId="165" fontId="10" fillId="0" borderId="1" xfId="0" applyNumberFormat="1" applyFont="1" applyBorder="1"/>
    <xf numFmtId="172" fontId="10" fillId="0" borderId="1" xfId="0" applyNumberFormat="1" applyFont="1" applyBorder="1"/>
    <xf numFmtId="0" fontId="22" fillId="14" borderId="1" xfId="0" applyFont="1" applyFill="1" applyBorder="1"/>
    <xf numFmtId="172" fontId="22" fillId="0" borderId="1" xfId="0" applyNumberFormat="1" applyFont="1" applyBorder="1"/>
    <xf numFmtId="0" fontId="22" fillId="3" borderId="1" xfId="0" applyFont="1" applyFill="1" applyBorder="1"/>
    <xf numFmtId="164" fontId="22" fillId="3" borderId="1" xfId="0" applyNumberFormat="1" applyFont="1" applyFill="1" applyBorder="1"/>
    <xf numFmtId="172" fontId="22" fillId="20" borderId="1" xfId="0" applyNumberFormat="1" applyFont="1" applyFill="1" applyBorder="1" applyAlignment="1">
      <alignment vertical="center"/>
    </xf>
    <xf numFmtId="17" fontId="10" fillId="0" borderId="0" xfId="0" applyNumberFormat="1" applyFont="1"/>
    <xf numFmtId="164" fontId="12" fillId="0" borderId="4" xfId="0" applyNumberFormat="1" applyFont="1" applyBorder="1"/>
    <xf numFmtId="164" fontId="12" fillId="0" borderId="5" xfId="0" applyNumberFormat="1" applyFont="1" applyBorder="1"/>
    <xf numFmtId="164" fontId="12" fillId="3" borderId="4" xfId="0" applyNumberFormat="1" applyFont="1" applyFill="1" applyBorder="1"/>
    <xf numFmtId="164" fontId="11" fillId="3" borderId="17" xfId="0" applyNumberFormat="1" applyFont="1" applyFill="1" applyBorder="1"/>
    <xf numFmtId="164" fontId="11" fillId="3" borderId="18" xfId="0" applyNumberFormat="1" applyFont="1" applyFill="1" applyBorder="1"/>
    <xf numFmtId="164" fontId="11" fillId="3" borderId="5" xfId="0" applyNumberFormat="1" applyFont="1" applyFill="1" applyBorder="1"/>
    <xf numFmtId="164" fontId="11" fillId="0" borderId="0" xfId="0" applyNumberFormat="1" applyFont="1"/>
    <xf numFmtId="0" fontId="24" fillId="0" borderId="0" xfId="0" applyFont="1" applyAlignment="1">
      <alignment horizontal="center"/>
    </xf>
    <xf numFmtId="0" fontId="55" fillId="0" borderId="0" xfId="0" applyFont="1" applyAlignment="1">
      <alignment wrapText="1"/>
    </xf>
    <xf numFmtId="164" fontId="12" fillId="0" borderId="6" xfId="0" applyNumberFormat="1" applyFont="1" applyBorder="1"/>
    <xf numFmtId="164" fontId="12" fillId="0" borderId="7" xfId="0" applyNumberFormat="1" applyFont="1" applyBorder="1"/>
    <xf numFmtId="165" fontId="12" fillId="10" borderId="6" xfId="0" applyNumberFormat="1" applyFont="1" applyFill="1" applyBorder="1"/>
    <xf numFmtId="164" fontId="12" fillId="10" borderId="3" xfId="0" applyNumberFormat="1" applyFont="1" applyFill="1" applyBorder="1"/>
    <xf numFmtId="164" fontId="12" fillId="10" borderId="7" xfId="0" applyNumberFormat="1" applyFont="1" applyFill="1" applyBorder="1"/>
    <xf numFmtId="0" fontId="24" fillId="0" borderId="0" xfId="4" applyFont="1"/>
    <xf numFmtId="2" fontId="12" fillId="0" borderId="0" xfId="4" applyNumberFormat="1" applyFont="1"/>
    <xf numFmtId="17" fontId="53" fillId="0" borderId="0" xfId="0" applyNumberFormat="1" applyFont="1"/>
    <xf numFmtId="0" fontId="55" fillId="0" borderId="0" xfId="0" applyFont="1"/>
    <xf numFmtId="164" fontId="12" fillId="0" borderId="8" xfId="0" applyNumberFormat="1" applyFont="1" applyBorder="1"/>
    <xf numFmtId="164" fontId="12" fillId="0" borderId="9" xfId="0" applyNumberFormat="1" applyFont="1" applyBorder="1"/>
    <xf numFmtId="164" fontId="12" fillId="10" borderId="6" xfId="0" applyNumberFormat="1" applyFont="1" applyFill="1" applyBorder="1"/>
    <xf numFmtId="0" fontId="53" fillId="0" borderId="1" xfId="0" applyFont="1" applyBorder="1" applyAlignment="1">
      <alignment horizontal="right"/>
    </xf>
    <xf numFmtId="0" fontId="53" fillId="0" borderId="1" xfId="0" applyFont="1" applyBorder="1"/>
    <xf numFmtId="164" fontId="12" fillId="1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28" fillId="0" borderId="0" xfId="4" applyFont="1"/>
    <xf numFmtId="164" fontId="12" fillId="0" borderId="3" xfId="0" applyNumberFormat="1" applyFont="1" applyBorder="1"/>
    <xf numFmtId="2" fontId="54" fillId="0" borderId="0" xfId="0" applyNumberFormat="1" applyFont="1"/>
    <xf numFmtId="4" fontId="54" fillId="0" borderId="1" xfId="0" applyNumberFormat="1" applyFont="1" applyBorder="1"/>
    <xf numFmtId="164" fontId="12" fillId="0" borderId="19" xfId="0" applyNumberFormat="1" applyFont="1" applyBorder="1"/>
    <xf numFmtId="16" fontId="12" fillId="0" borderId="0" xfId="4" applyNumberFormat="1" applyFont="1"/>
    <xf numFmtId="164" fontId="54" fillId="32" borderId="1" xfId="0" applyNumberFormat="1" applyFont="1" applyFill="1" applyBorder="1"/>
    <xf numFmtId="164" fontId="54" fillId="24" borderId="1" xfId="0" applyNumberFormat="1" applyFont="1" applyFill="1" applyBorder="1"/>
    <xf numFmtId="164" fontId="0" fillId="27" borderId="1" xfId="0" applyNumberFormat="1" applyFill="1" applyBorder="1"/>
    <xf numFmtId="0" fontId="5" fillId="10" borderId="1" xfId="0" applyFont="1" applyFill="1" applyBorder="1"/>
    <xf numFmtId="3" fontId="53" fillId="0" borderId="1" xfId="0" applyNumberFormat="1" applyFont="1" applyBorder="1"/>
    <xf numFmtId="16" fontId="5" fillId="0" borderId="0" xfId="0" applyNumberFormat="1" applyFont="1"/>
    <xf numFmtId="164" fontId="46" fillId="0" borderId="0" xfId="0" applyNumberFormat="1" applyFont="1" applyAlignment="1">
      <alignment horizontal="right" vertical="center" wrapText="1"/>
    </xf>
    <xf numFmtId="164" fontId="9" fillId="0" borderId="0" xfId="0" applyNumberFormat="1" applyFont="1"/>
    <xf numFmtId="164" fontId="5" fillId="4" borderId="1" xfId="0" applyNumberFormat="1" applyFont="1" applyFill="1" applyBorder="1"/>
    <xf numFmtId="173" fontId="28" fillId="0" borderId="1" xfId="0" applyNumberFormat="1" applyFont="1" applyBorder="1" applyAlignment="1">
      <alignment horizontal="right"/>
    </xf>
    <xf numFmtId="164" fontId="46" fillId="10" borderId="1" xfId="0" applyNumberFormat="1" applyFont="1" applyFill="1" applyBorder="1" applyAlignment="1">
      <alignment horizontal="center" vertical="center" wrapText="1"/>
    </xf>
    <xf numFmtId="164" fontId="46" fillId="0" borderId="0" xfId="0" applyNumberFormat="1" applyFont="1" applyAlignment="1">
      <alignment horizontal="center" vertical="center" wrapText="1"/>
    </xf>
    <xf numFmtId="3" fontId="5" fillId="0" borderId="0" xfId="0" applyNumberFormat="1" applyFont="1"/>
    <xf numFmtId="1" fontId="24" fillId="0" borderId="1" xfId="0" applyNumberFormat="1" applyFont="1" applyBorder="1"/>
    <xf numFmtId="0" fontId="57" fillId="33" borderId="1" xfId="0" applyFont="1" applyFill="1" applyBorder="1" applyAlignment="1">
      <alignment horizontal="center" vertical="center" wrapText="1"/>
    </xf>
    <xf numFmtId="14" fontId="57" fillId="33" borderId="1" xfId="0" applyNumberFormat="1" applyFont="1" applyFill="1" applyBorder="1" applyAlignment="1">
      <alignment horizontal="center" vertical="center" wrapText="1"/>
    </xf>
    <xf numFmtId="0" fontId="6" fillId="0" borderId="13" xfId="0" applyFont="1" applyBorder="1"/>
    <xf numFmtId="10" fontId="5" fillId="0" borderId="0" xfId="0" applyNumberFormat="1" applyFont="1"/>
    <xf numFmtId="0" fontId="6" fillId="0" borderId="15" xfId="0" applyFont="1" applyBorder="1"/>
    <xf numFmtId="17" fontId="0" fillId="0" borderId="0" xfId="0" applyNumberFormat="1"/>
    <xf numFmtId="1" fontId="54" fillId="0" borderId="1" xfId="0" applyNumberFormat="1" applyFont="1" applyBorder="1" applyAlignment="1">
      <alignment horizontal="right"/>
    </xf>
    <xf numFmtId="1" fontId="54" fillId="0" borderId="1" xfId="0" applyNumberFormat="1" applyFont="1" applyBorder="1" applyAlignment="1">
      <alignment horizontal="right" wrapText="1"/>
    </xf>
    <xf numFmtId="16" fontId="5" fillId="0" borderId="12" xfId="0" applyNumberFormat="1" applyFont="1" applyBorder="1"/>
    <xf numFmtId="17" fontId="5" fillId="0" borderId="1" xfId="0" applyNumberFormat="1" applyFont="1" applyBorder="1"/>
    <xf numFmtId="17" fontId="5" fillId="0" borderId="0" xfId="0" applyNumberFormat="1" applyFont="1"/>
    <xf numFmtId="0" fontId="0" fillId="20" borderId="1" xfId="0" applyFill="1" applyBorder="1"/>
    <xf numFmtId="0" fontId="0" fillId="19" borderId="1" xfId="0" applyFill="1" applyBorder="1"/>
    <xf numFmtId="0" fontId="58" fillId="0" borderId="1" xfId="0" applyFont="1" applyBorder="1"/>
    <xf numFmtId="0" fontId="58" fillId="0" borderId="0" xfId="0" applyFont="1"/>
    <xf numFmtId="164" fontId="58" fillId="0" borderId="1" xfId="0" applyNumberFormat="1" applyFont="1" applyBorder="1"/>
    <xf numFmtId="164" fontId="58" fillId="0" borderId="0" xfId="0" applyNumberFormat="1" applyFont="1"/>
    <xf numFmtId="0" fontId="59" fillId="0" borderId="1" xfId="0" applyFont="1" applyBorder="1"/>
    <xf numFmtId="0" fontId="59" fillId="0" borderId="0" xfId="0" applyFont="1"/>
    <xf numFmtId="0" fontId="59" fillId="19" borderId="1" xfId="0" applyFont="1" applyFill="1" applyBorder="1"/>
    <xf numFmtId="0" fontId="59" fillId="19" borderId="0" xfId="0" applyFont="1" applyFill="1" applyAlignment="1">
      <alignment horizontal="center"/>
    </xf>
    <xf numFmtId="164" fontId="58" fillId="0" borderId="1" xfId="0" applyNumberFormat="1" applyFont="1" applyBorder="1" applyAlignment="1">
      <alignment horizontal="right"/>
    </xf>
    <xf numFmtId="0" fontId="59" fillId="21" borderId="1" xfId="0" applyFont="1" applyFill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54" fillId="0" borderId="0" xfId="0" applyFont="1" applyAlignment="1">
      <alignment horizontal="center"/>
    </xf>
    <xf numFmtId="14" fontId="54" fillId="0" borderId="0" xfId="0" applyNumberFormat="1" applyFont="1"/>
    <xf numFmtId="169" fontId="54" fillId="0" borderId="0" xfId="0" applyNumberFormat="1" applyFont="1"/>
    <xf numFmtId="169" fontId="54" fillId="0" borderId="0" xfId="0" applyNumberFormat="1" applyFont="1" applyAlignment="1">
      <alignment wrapText="1"/>
    </xf>
    <xf numFmtId="174" fontId="54" fillId="0" borderId="1" xfId="0" applyNumberFormat="1" applyFont="1" applyBorder="1"/>
    <xf numFmtId="164" fontId="54" fillId="4" borderId="1" xfId="0" applyNumberFormat="1" applyFont="1" applyFill="1" applyBorder="1"/>
    <xf numFmtId="0" fontId="54" fillId="4" borderId="1" xfId="0" applyFont="1" applyFill="1" applyBorder="1"/>
    <xf numFmtId="4" fontId="54" fillId="4" borderId="1" xfId="0" applyNumberFormat="1" applyFont="1" applyFill="1" applyBorder="1"/>
    <xf numFmtId="164" fontId="54" fillId="0" borderId="1" xfId="0" applyNumberFormat="1" applyFont="1" applyBorder="1" applyAlignment="1">
      <alignment horizontal="right"/>
    </xf>
    <xf numFmtId="164" fontId="54" fillId="0" borderId="1" xfId="0" applyNumberFormat="1" applyFont="1" applyBorder="1" applyAlignment="1">
      <alignment horizontal="right" wrapText="1"/>
    </xf>
    <xf numFmtId="174" fontId="54" fillId="34" borderId="1" xfId="0" applyNumberFormat="1" applyFont="1" applyFill="1" applyBorder="1"/>
    <xf numFmtId="164" fontId="54" fillId="34" borderId="1" xfId="0" applyNumberFormat="1" applyFont="1" applyFill="1" applyBorder="1"/>
    <xf numFmtId="17" fontId="54" fillId="34" borderId="1" xfId="0" applyNumberFormat="1" applyFont="1" applyFill="1" applyBorder="1"/>
    <xf numFmtId="0" fontId="54" fillId="34" borderId="1" xfId="0" applyFont="1" applyFill="1" applyBorder="1"/>
    <xf numFmtId="4" fontId="54" fillId="34" borderId="1" xfId="0" applyNumberFormat="1" applyFont="1" applyFill="1" applyBorder="1"/>
    <xf numFmtId="174" fontId="54" fillId="4" borderId="1" xfId="0" applyNumberFormat="1" applyFont="1" applyFill="1" applyBorder="1"/>
    <xf numFmtId="2" fontId="53" fillId="0" borderId="1" xfId="0" applyNumberFormat="1" applyFont="1" applyBorder="1"/>
    <xf numFmtId="0" fontId="53" fillId="3" borderId="1" xfId="0" applyFont="1" applyFill="1" applyBorder="1"/>
    <xf numFmtId="0" fontId="5" fillId="0" borderId="1" xfId="0" applyFont="1" applyBorder="1" applyAlignment="1">
      <alignment horizontal="center"/>
    </xf>
    <xf numFmtId="0" fontId="60" fillId="35" borderId="1" xfId="0" applyFont="1" applyFill="1" applyBorder="1"/>
    <xf numFmtId="0" fontId="10" fillId="20" borderId="1" xfId="0" applyFont="1" applyFill="1" applyBorder="1"/>
    <xf numFmtId="0" fontId="62" fillId="9" borderId="1" xfId="0" applyFont="1" applyFill="1" applyBorder="1"/>
    <xf numFmtId="164" fontId="62" fillId="9" borderId="1" xfId="0" applyNumberFormat="1" applyFont="1" applyFill="1" applyBorder="1"/>
    <xf numFmtId="164" fontId="1" fillId="0" borderId="1" xfId="0" applyNumberFormat="1" applyFont="1" applyBorder="1"/>
    <xf numFmtId="164" fontId="1" fillId="0" borderId="0" xfId="0" applyNumberFormat="1" applyFont="1"/>
    <xf numFmtId="165" fontId="1" fillId="0" borderId="1" xfId="0" applyNumberFormat="1" applyFont="1" applyBorder="1"/>
    <xf numFmtId="0" fontId="1" fillId="0" borderId="0" xfId="0" applyFont="1"/>
    <xf numFmtId="0" fontId="1" fillId="0" borderId="1" xfId="0" applyFont="1" applyBorder="1"/>
    <xf numFmtId="0" fontId="1" fillId="14" borderId="1" xfId="0" applyFont="1" applyFill="1" applyBorder="1"/>
    <xf numFmtId="164" fontId="1" fillId="14" borderId="1" xfId="0" applyNumberFormat="1" applyFont="1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4" fontId="1" fillId="0" borderId="1" xfId="0" applyNumberFormat="1" applyFont="1" applyBorder="1"/>
    <xf numFmtId="0" fontId="5" fillId="28" borderId="1" xfId="0" applyFont="1" applyFill="1" applyBorder="1"/>
    <xf numFmtId="0" fontId="63" fillId="20" borderId="1" xfId="0" applyFont="1" applyFill="1" applyBorder="1"/>
    <xf numFmtId="0" fontId="9" fillId="0" borderId="1" xfId="0" applyFont="1" applyBorder="1" applyAlignment="1">
      <alignment horizontal="center"/>
    </xf>
    <xf numFmtId="17" fontId="45" fillId="3" borderId="3" xfId="0" applyNumberFormat="1" applyFont="1" applyFill="1" applyBorder="1" applyAlignment="1">
      <alignment horizontal="center" vertical="center"/>
    </xf>
    <xf numFmtId="164" fontId="5" fillId="0" borderId="3" xfId="0" applyNumberFormat="1" applyFont="1" applyBorder="1"/>
    <xf numFmtId="164" fontId="5" fillId="5" borderId="3" xfId="0" applyNumberFormat="1" applyFont="1" applyFill="1" applyBorder="1"/>
    <xf numFmtId="0" fontId="5" fillId="8" borderId="1" xfId="0" applyFont="1" applyFill="1" applyBorder="1"/>
    <xf numFmtId="164" fontId="37" fillId="14" borderId="1" xfId="0" applyNumberFormat="1" applyFont="1" applyFill="1" applyBorder="1"/>
    <xf numFmtId="164" fontId="37" fillId="0" borderId="1" xfId="0" applyNumberFormat="1" applyFont="1" applyBorder="1"/>
    <xf numFmtId="9" fontId="4" fillId="0" borderId="1" xfId="0" applyNumberFormat="1" applyFont="1" applyBorder="1"/>
    <xf numFmtId="175" fontId="5" fillId="0" borderId="1" xfId="0" applyNumberFormat="1" applyFont="1" applyBorder="1"/>
    <xf numFmtId="2" fontId="36" fillId="0" borderId="0" xfId="0" applyNumberFormat="1" applyFont="1"/>
    <xf numFmtId="164" fontId="12" fillId="0" borderId="0" xfId="0" applyNumberFormat="1" applyFont="1" applyAlignment="1">
      <alignment horizontal="right"/>
    </xf>
    <xf numFmtId="0" fontId="12" fillId="0" borderId="0" xfId="4" applyFont="1" applyAlignment="1">
      <alignment horizontal="right"/>
    </xf>
    <xf numFmtId="164" fontId="12" fillId="0" borderId="0" xfId="4" applyNumberFormat="1" applyFont="1"/>
    <xf numFmtId="3" fontId="12" fillId="0" borderId="0" xfId="0" applyNumberFormat="1" applyFont="1"/>
    <xf numFmtId="0" fontId="24" fillId="0" borderId="0" xfId="0" applyFont="1" applyAlignment="1">
      <alignment horizontal="left"/>
    </xf>
    <xf numFmtId="16" fontId="12" fillId="0" borderId="0" xfId="0" applyNumberFormat="1" applyFont="1"/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left" wrapText="1"/>
    </xf>
    <xf numFmtId="164" fontId="24" fillId="0" borderId="0" xfId="0" applyNumberFormat="1" applyFont="1" applyAlignment="1">
      <alignment horizontal="center"/>
    </xf>
    <xf numFmtId="0" fontId="11" fillId="0" borderId="0" xfId="0" applyFont="1" applyAlignment="1">
      <alignment horizontal="right" wrapText="1"/>
    </xf>
    <xf numFmtId="164" fontId="12" fillId="0" borderId="0" xfId="0" applyNumberFormat="1" applyFont="1" applyAlignment="1">
      <alignment wrapText="1"/>
    </xf>
    <xf numFmtId="16" fontId="24" fillId="0" borderId="0" xfId="0" applyNumberFormat="1" applyFont="1" applyAlignment="1">
      <alignment wrapText="1"/>
    </xf>
    <xf numFmtId="171" fontId="12" fillId="0" borderId="0" xfId="0" applyNumberFormat="1" applyFont="1"/>
    <xf numFmtId="167" fontId="12" fillId="0" borderId="0" xfId="0" applyNumberFormat="1" applyFont="1"/>
    <xf numFmtId="167" fontId="12" fillId="0" borderId="0" xfId="0" applyNumberFormat="1" applyFont="1" applyAlignment="1">
      <alignment horizontal="right"/>
    </xf>
    <xf numFmtId="166" fontId="12" fillId="0" borderId="0" xfId="0" applyNumberFormat="1" applyFont="1"/>
    <xf numFmtId="16" fontId="24" fillId="0" borderId="0" xfId="0" applyNumberFormat="1" applyFont="1" applyAlignment="1">
      <alignment vertical="center"/>
    </xf>
    <xf numFmtId="17" fontId="12" fillId="0" borderId="11" xfId="0" applyNumberFormat="1" applyFont="1" applyBorder="1"/>
    <xf numFmtId="0" fontId="12" fillId="0" borderId="11" xfId="0" applyFont="1" applyBorder="1"/>
    <xf numFmtId="0" fontId="24" fillId="0" borderId="0" xfId="0" applyFont="1" applyAlignment="1">
      <alignment wrapText="1"/>
    </xf>
    <xf numFmtId="0" fontId="12" fillId="5" borderId="1" xfId="0" applyFont="1" applyFill="1" applyBorder="1" applyAlignment="1">
      <alignment horizontal="right"/>
    </xf>
    <xf numFmtId="2" fontId="12" fillId="0" borderId="21" xfId="0" applyNumberFormat="1" applyFont="1" applyBorder="1"/>
    <xf numFmtId="2" fontId="12" fillId="0" borderId="22" xfId="0" applyNumberFormat="1" applyFont="1" applyBorder="1"/>
    <xf numFmtId="2" fontId="12" fillId="0" borderId="23" xfId="0" applyNumberFormat="1" applyFont="1" applyBorder="1"/>
    <xf numFmtId="2" fontId="12" fillId="0" borderId="14" xfId="0" applyNumberFormat="1" applyFont="1" applyBorder="1"/>
    <xf numFmtId="2" fontId="12" fillId="0" borderId="15" xfId="0" applyNumberFormat="1" applyFont="1" applyBorder="1"/>
    <xf numFmtId="2" fontId="12" fillId="0" borderId="16" xfId="0" applyNumberFormat="1" applyFont="1" applyBorder="1"/>
    <xf numFmtId="2" fontId="12" fillId="0" borderId="20" xfId="0" applyNumberFormat="1" applyFont="1" applyBorder="1"/>
    <xf numFmtId="2" fontId="12" fillId="0" borderId="24" xfId="0" applyNumberFormat="1" applyFont="1" applyBorder="1"/>
    <xf numFmtId="0" fontId="13" fillId="0" borderId="13" xfId="0" applyFont="1" applyBorder="1"/>
    <xf numFmtId="17" fontId="12" fillId="0" borderId="1" xfId="0" applyNumberFormat="1" applyFont="1" applyBorder="1"/>
    <xf numFmtId="0" fontId="24" fillId="0" borderId="1" xfId="0" applyFont="1" applyBorder="1" applyAlignment="1">
      <alignment horizontal="right" wrapText="1"/>
    </xf>
    <xf numFmtId="17" fontId="24" fillId="0" borderId="1" xfId="0" applyNumberFormat="1" applyFont="1" applyBorder="1" applyAlignment="1">
      <alignment wrapText="1"/>
    </xf>
    <xf numFmtId="164" fontId="24" fillId="0" borderId="1" xfId="0" applyNumberFormat="1" applyFont="1" applyBorder="1" applyAlignment="1">
      <alignment wrapText="1"/>
    </xf>
    <xf numFmtId="0" fontId="51" fillId="0" borderId="0" xfId="0" applyFont="1"/>
    <xf numFmtId="0" fontId="51" fillId="3" borderId="1" xfId="0" applyFont="1" applyFill="1" applyBorder="1"/>
    <xf numFmtId="164" fontId="11" fillId="0" borderId="0" xfId="0" applyNumberFormat="1" applyFont="1" applyAlignment="1">
      <alignment horizontal="center" wrapText="1"/>
    </xf>
    <xf numFmtId="0" fontId="5" fillId="6" borderId="1" xfId="0" applyFont="1" applyFill="1" applyBorder="1"/>
    <xf numFmtId="0" fontId="9" fillId="6" borderId="1" xfId="0" applyFont="1" applyFill="1" applyBorder="1"/>
    <xf numFmtId="0" fontId="5" fillId="6" borderId="1" xfId="0" applyFont="1" applyFill="1" applyBorder="1" applyAlignment="1">
      <alignment horizontal="right"/>
    </xf>
    <xf numFmtId="0" fontId="12" fillId="10" borderId="1" xfId="0" applyFont="1" applyFill="1" applyBorder="1" applyAlignment="1">
      <alignment horizontal="right"/>
    </xf>
    <xf numFmtId="17" fontId="12" fillId="10" borderId="1" xfId="0" applyNumberFormat="1" applyFont="1" applyFill="1" applyBorder="1"/>
    <xf numFmtId="1" fontId="12" fillId="10" borderId="1" xfId="0" applyNumberFormat="1" applyFont="1" applyFill="1" applyBorder="1"/>
    <xf numFmtId="4" fontId="12" fillId="0" borderId="0" xfId="0" applyNumberFormat="1" applyFont="1" applyAlignment="1">
      <alignment horizontal="right"/>
    </xf>
    <xf numFmtId="176" fontId="0" fillId="0" borderId="1" xfId="0" applyNumberFormat="1" applyBorder="1"/>
    <xf numFmtId="0" fontId="5" fillId="2" borderId="11" xfId="0" applyFont="1" applyFill="1" applyBorder="1"/>
    <xf numFmtId="0" fontId="5" fillId="2" borderId="1" xfId="0" applyFont="1" applyFill="1" applyBorder="1" applyAlignment="1">
      <alignment wrapText="1"/>
    </xf>
    <xf numFmtId="15" fontId="5" fillId="2" borderId="1" xfId="0" applyNumberFormat="1" applyFont="1" applyFill="1" applyBorder="1"/>
    <xf numFmtId="164" fontId="12" fillId="0" borderId="1" xfId="0" applyNumberFormat="1" applyFont="1" applyBorder="1" applyAlignment="1">
      <alignment horizontal="right" vertical="center"/>
    </xf>
    <xf numFmtId="0" fontId="0" fillId="37" borderId="1" xfId="0" applyFill="1" applyBorder="1"/>
    <xf numFmtId="175" fontId="5" fillId="0" borderId="0" xfId="0" applyNumberFormat="1" applyFont="1"/>
    <xf numFmtId="165" fontId="12" fillId="0" borderId="1" xfId="0" applyNumberFormat="1" applyFont="1" applyBorder="1" applyAlignment="1">
      <alignment horizontal="right" vertical="center"/>
    </xf>
    <xf numFmtId="165" fontId="12" fillId="0" borderId="1" xfId="0" applyNumberFormat="1" applyFont="1" applyBorder="1" applyAlignment="1">
      <alignment horizontal="right"/>
    </xf>
    <xf numFmtId="0" fontId="65" fillId="0" borderId="1" xfId="0" applyFont="1" applyBorder="1"/>
    <xf numFmtId="164" fontId="65" fillId="0" borderId="1" xfId="0" applyNumberFormat="1" applyFont="1" applyBorder="1"/>
    <xf numFmtId="0" fontId="67" fillId="0" borderId="1" xfId="0" applyFont="1" applyBorder="1"/>
    <xf numFmtId="164" fontId="67" fillId="0" borderId="1" xfId="0" applyNumberFormat="1" applyFont="1" applyBorder="1"/>
    <xf numFmtId="0" fontId="66" fillId="8" borderId="1" xfId="0" applyFont="1" applyFill="1" applyBorder="1" applyAlignment="1">
      <alignment horizontal="center"/>
    </xf>
    <xf numFmtId="164" fontId="66" fillId="8" borderId="1" xfId="0" applyNumberFormat="1" applyFont="1" applyFill="1" applyBorder="1" applyAlignment="1">
      <alignment horizontal="center"/>
    </xf>
    <xf numFmtId="0" fontId="68" fillId="0" borderId="0" xfId="0" applyFont="1"/>
    <xf numFmtId="176" fontId="68" fillId="0" borderId="1" xfId="0" applyNumberFormat="1" applyFont="1" applyBorder="1"/>
    <xf numFmtId="0" fontId="69" fillId="0" borderId="1" xfId="0" applyFont="1" applyBorder="1"/>
    <xf numFmtId="0" fontId="69" fillId="0" borderId="0" xfId="0" applyFont="1"/>
    <xf numFmtId="4" fontId="68" fillId="0" borderId="1" xfId="0" applyNumberFormat="1" applyFont="1" applyBorder="1"/>
    <xf numFmtId="4" fontId="69" fillId="0" borderId="1" xfId="0" applyNumberFormat="1" applyFont="1" applyBorder="1"/>
    <xf numFmtId="0" fontId="59" fillId="0" borderId="1" xfId="0" applyFont="1" applyBorder="1" applyAlignment="1">
      <alignment wrapText="1"/>
    </xf>
    <xf numFmtId="2" fontId="12" fillId="2" borderId="1" xfId="0" applyNumberFormat="1" applyFont="1" applyFill="1" applyBorder="1" applyAlignment="1">
      <alignment vertical="center"/>
    </xf>
    <xf numFmtId="2" fontId="12" fillId="0" borderId="1" xfId="0" applyNumberFormat="1" applyFont="1" applyBorder="1" applyAlignment="1">
      <alignment horizontal="right"/>
    </xf>
    <xf numFmtId="0" fontId="71" fillId="0" borderId="1" xfId="5" applyBorder="1"/>
    <xf numFmtId="177" fontId="1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" fontId="12" fillId="0" borderId="0" xfId="0" applyNumberFormat="1" applyFont="1" applyAlignment="1">
      <alignment horizontal="right"/>
    </xf>
    <xf numFmtId="0" fontId="72" fillId="8" borderId="1" xfId="0" applyFont="1" applyFill="1" applyBorder="1"/>
    <xf numFmtId="164" fontId="72" fillId="8" borderId="1" xfId="0" applyNumberFormat="1" applyFont="1" applyFill="1" applyBorder="1"/>
    <xf numFmtId="0" fontId="71" fillId="0" borderId="3" xfId="5" applyBorder="1"/>
    <xf numFmtId="0" fontId="0" fillId="0" borderId="25" xfId="0" applyBorder="1"/>
    <xf numFmtId="164" fontId="0" fillId="0" borderId="25" xfId="0" applyNumberFormat="1" applyBorder="1"/>
    <xf numFmtId="16" fontId="0" fillId="0" borderId="25" xfId="0" applyNumberFormat="1" applyBorder="1"/>
    <xf numFmtId="164" fontId="71" fillId="0" borderId="0" xfId="5" applyNumberFormat="1"/>
    <xf numFmtId="175" fontId="52" fillId="0" borderId="1" xfId="0" applyNumberFormat="1" applyFont="1" applyBorder="1"/>
    <xf numFmtId="167" fontId="52" fillId="0" borderId="6" xfId="0" applyNumberFormat="1" applyFont="1" applyBorder="1"/>
    <xf numFmtId="167" fontId="52" fillId="0" borderId="7" xfId="0" applyNumberFormat="1" applyFont="1" applyBorder="1"/>
    <xf numFmtId="167" fontId="35" fillId="0" borderId="6" xfId="0" applyNumberFormat="1" applyFont="1" applyBorder="1"/>
    <xf numFmtId="167" fontId="35" fillId="0" borderId="7" xfId="0" applyNumberFormat="1" applyFont="1" applyBorder="1"/>
    <xf numFmtId="0" fontId="12" fillId="0" borderId="7" xfId="0" applyFont="1" applyBorder="1"/>
    <xf numFmtId="0" fontId="12" fillId="0" borderId="6" xfId="0" applyFont="1" applyBorder="1"/>
    <xf numFmtId="164" fontId="12" fillId="0" borderId="7" xfId="4" applyNumberFormat="1" applyFont="1" applyBorder="1"/>
    <xf numFmtId="0" fontId="24" fillId="0" borderId="7" xfId="0" applyFont="1" applyBorder="1"/>
    <xf numFmtId="0" fontId="24" fillId="0" borderId="6" xfId="0" applyFont="1" applyBorder="1"/>
    <xf numFmtId="0" fontId="12" fillId="0" borderId="8" xfId="0" applyFont="1" applyBorder="1"/>
    <xf numFmtId="0" fontId="12" fillId="0" borderId="19" xfId="0" applyFont="1" applyBorder="1"/>
    <xf numFmtId="0" fontId="12" fillId="0" borderId="9" xfId="0" applyFont="1" applyBorder="1"/>
    <xf numFmtId="1" fontId="12" fillId="0" borderId="21" xfId="0" applyNumberFormat="1" applyFont="1" applyBorder="1" applyAlignment="1">
      <alignment horizontal="right"/>
    </xf>
    <xf numFmtId="1" fontId="12" fillId="0" borderId="22" xfId="0" applyNumberFormat="1" applyFont="1" applyBorder="1"/>
    <xf numFmtId="2" fontId="12" fillId="20" borderId="22" xfId="0" applyNumberFormat="1" applyFont="1" applyFill="1" applyBorder="1"/>
    <xf numFmtId="177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right" vertical="center"/>
    </xf>
    <xf numFmtId="2" fontId="12" fillId="0" borderId="0" xfId="0" applyNumberFormat="1" applyFont="1" applyAlignment="1">
      <alignment vertical="center"/>
    </xf>
    <xf numFmtId="0" fontId="73" fillId="0" borderId="0" xfId="0" applyFont="1"/>
    <xf numFmtId="0" fontId="73" fillId="0" borderId="0" xfId="0" applyFont="1" applyAlignment="1">
      <alignment wrapText="1"/>
    </xf>
    <xf numFmtId="0" fontId="73" fillId="0" borderId="1" xfId="0" applyFont="1" applyBorder="1"/>
    <xf numFmtId="164" fontId="73" fillId="0" borderId="1" xfId="0" applyNumberFormat="1" applyFont="1" applyBorder="1"/>
    <xf numFmtId="0" fontId="73" fillId="0" borderId="1" xfId="0" applyFont="1" applyBorder="1" applyAlignment="1">
      <alignment wrapText="1"/>
    </xf>
    <xf numFmtId="0" fontId="73" fillId="14" borderId="1" xfId="0" applyFont="1" applyFill="1" applyBorder="1" applyAlignment="1">
      <alignment wrapText="1"/>
    </xf>
    <xf numFmtId="0" fontId="73" fillId="38" borderId="1" xfId="0" applyFont="1" applyFill="1" applyBorder="1" applyAlignment="1">
      <alignment wrapText="1"/>
    </xf>
    <xf numFmtId="0" fontId="73" fillId="19" borderId="1" xfId="0" applyFont="1" applyFill="1" applyBorder="1"/>
    <xf numFmtId="0" fontId="73" fillId="39" borderId="1" xfId="0" applyFont="1" applyFill="1" applyBorder="1"/>
    <xf numFmtId="0" fontId="73" fillId="40" borderId="1" xfId="0" applyFont="1" applyFill="1" applyBorder="1" applyAlignment="1">
      <alignment wrapText="1"/>
    </xf>
    <xf numFmtId="17" fontId="24" fillId="0" borderId="1" xfId="0" applyNumberFormat="1" applyFont="1" applyBorder="1"/>
    <xf numFmtId="0" fontId="5" fillId="8" borderId="12" xfId="0" applyFont="1" applyFill="1" applyBorder="1"/>
    <xf numFmtId="167" fontId="52" fillId="2" borderId="6" xfId="0" applyNumberFormat="1" applyFont="1" applyFill="1" applyBorder="1"/>
    <xf numFmtId="175" fontId="52" fillId="2" borderId="1" xfId="0" applyNumberFormat="1" applyFont="1" applyFill="1" applyBorder="1"/>
    <xf numFmtId="164" fontId="12" fillId="20" borderId="6" xfId="0" applyNumberFormat="1" applyFont="1" applyFill="1" applyBorder="1"/>
    <xf numFmtId="175" fontId="52" fillId="20" borderId="1" xfId="0" applyNumberFormat="1" applyFont="1" applyFill="1" applyBorder="1"/>
    <xf numFmtId="167" fontId="74" fillId="0" borderId="6" xfId="0" applyNumberFormat="1" applyFont="1" applyBorder="1"/>
    <xf numFmtId="175" fontId="74" fillId="0" borderId="1" xfId="0" applyNumberFormat="1" applyFont="1" applyBorder="1"/>
    <xf numFmtId="167" fontId="74" fillId="0" borderId="7" xfId="0" applyNumberFormat="1" applyFont="1" applyBorder="1"/>
    <xf numFmtId="167" fontId="75" fillId="0" borderId="6" xfId="0" applyNumberFormat="1" applyFont="1" applyBorder="1"/>
    <xf numFmtId="0" fontId="75" fillId="0" borderId="6" xfId="0" applyFont="1" applyBorder="1"/>
    <xf numFmtId="167" fontId="52" fillId="6" borderId="7" xfId="0" applyNumberFormat="1" applyFont="1" applyFill="1" applyBorder="1"/>
    <xf numFmtId="0" fontId="0" fillId="0" borderId="8" xfId="0" applyBorder="1"/>
    <xf numFmtId="164" fontId="0" fillId="0" borderId="19" xfId="0" applyNumberFormat="1" applyBorder="1"/>
    <xf numFmtId="0" fontId="0" fillId="0" borderId="19" xfId="0" applyBorder="1"/>
    <xf numFmtId="164" fontId="13" fillId="2" borderId="26" xfId="0" applyNumberFormat="1" applyFont="1" applyFill="1" applyBorder="1"/>
    <xf numFmtId="0" fontId="13" fillId="0" borderId="27" xfId="0" applyFont="1" applyBorder="1"/>
    <xf numFmtId="164" fontId="13" fillId="23" borderId="28" xfId="0" applyNumberFormat="1" applyFont="1" applyFill="1" applyBorder="1"/>
    <xf numFmtId="164" fontId="0" fillId="0" borderId="27" xfId="0" applyNumberFormat="1" applyBorder="1"/>
    <xf numFmtId="0" fontId="13" fillId="0" borderId="29" xfId="0" applyFont="1" applyBorder="1"/>
    <xf numFmtId="0" fontId="13" fillId="0" borderId="30" xfId="0" applyFont="1" applyBorder="1"/>
    <xf numFmtId="0" fontId="13" fillId="0" borderId="31" xfId="0" applyFont="1" applyBorder="1"/>
    <xf numFmtId="0" fontId="0" fillId="0" borderId="4" xfId="0" applyBorder="1"/>
    <xf numFmtId="16" fontId="0" fillId="0" borderId="17" xfId="0" applyNumberFormat="1" applyBorder="1"/>
    <xf numFmtId="164" fontId="0" fillId="0" borderId="17" xfId="0" applyNumberFormat="1" applyBorder="1"/>
    <xf numFmtId="0" fontId="0" fillId="0" borderId="5" xfId="0" applyBorder="1"/>
    <xf numFmtId="0" fontId="0" fillId="0" borderId="6" xfId="0" applyBorder="1"/>
    <xf numFmtId="0" fontId="12" fillId="0" borderId="1" xfId="0" applyFont="1" applyBorder="1" applyAlignment="1">
      <alignment horizontal="center"/>
    </xf>
    <xf numFmtId="0" fontId="12" fillId="0" borderId="1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11" xfId="0" applyBorder="1" applyAlignment="1">
      <alignment horizontal="left"/>
    </xf>
    <xf numFmtId="0" fontId="39" fillId="0" borderId="12" xfId="0" applyFont="1" applyBorder="1" applyAlignment="1">
      <alignment horizontal="left" vertical="center"/>
    </xf>
    <xf numFmtId="0" fontId="39" fillId="0" borderId="13" xfId="0" applyFont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44" fillId="0" borderId="3" xfId="0" applyFont="1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44" fillId="0" borderId="11" xfId="0" applyFont="1" applyBorder="1" applyAlignment="1">
      <alignment horizontal="center"/>
    </xf>
    <xf numFmtId="0" fontId="44" fillId="26" borderId="3" xfId="0" applyFont="1" applyFill="1" applyBorder="1" applyAlignment="1">
      <alignment horizontal="center"/>
    </xf>
    <xf numFmtId="0" fontId="44" fillId="26" borderId="10" xfId="0" applyFont="1" applyFill="1" applyBorder="1" applyAlignment="1">
      <alignment horizontal="center"/>
    </xf>
    <xf numFmtId="0" fontId="44" fillId="26" borderId="11" xfId="0" applyFont="1" applyFill="1" applyBorder="1" applyAlignment="1">
      <alignment horizontal="center"/>
    </xf>
    <xf numFmtId="0" fontId="43" fillId="0" borderId="3" xfId="0" applyFont="1" applyBorder="1" applyAlignment="1">
      <alignment horizontal="center"/>
    </xf>
    <xf numFmtId="0" fontId="43" fillId="0" borderId="10" xfId="0" applyFont="1" applyBorder="1" applyAlignment="1">
      <alignment horizontal="center"/>
    </xf>
    <xf numFmtId="0" fontId="4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3" fillId="0" borderId="1" xfId="0" applyNumberFormat="1" applyFont="1" applyBorder="1" applyAlignment="1">
      <alignment horizontal="center" vertical="center"/>
    </xf>
    <xf numFmtId="164" fontId="42" fillId="25" borderId="1" xfId="3" applyNumberForma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 wrapText="1"/>
    </xf>
    <xf numFmtId="164" fontId="13" fillId="15" borderId="1" xfId="0" applyNumberFormat="1" applyFont="1" applyFill="1" applyBorder="1" applyAlignment="1">
      <alignment horizontal="center" vertical="center"/>
    </xf>
    <xf numFmtId="164" fontId="13" fillId="15" borderId="1" xfId="0" applyNumberFormat="1" applyFont="1" applyFill="1" applyBorder="1" applyAlignment="1">
      <alignment horizontal="center" vertical="center" wrapText="1"/>
    </xf>
    <xf numFmtId="164" fontId="13" fillId="2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2" fontId="12" fillId="0" borderId="1" xfId="0" applyNumberFormat="1" applyFont="1" applyBorder="1" applyAlignment="1">
      <alignment horizontal="left"/>
    </xf>
    <xf numFmtId="2" fontId="24" fillId="0" borderId="1" xfId="0" applyNumberFormat="1" applyFont="1" applyBorder="1" applyAlignment="1">
      <alignment horizontal="left"/>
    </xf>
    <xf numFmtId="0" fontId="50" fillId="0" borderId="1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61" fillId="6" borderId="1" xfId="0" applyFont="1" applyFill="1" applyBorder="1" applyAlignment="1">
      <alignment horizontal="center" vertical="center" wrapText="1"/>
    </xf>
    <xf numFmtId="0" fontId="64" fillId="36" borderId="3" xfId="0" applyFont="1" applyFill="1" applyBorder="1" applyAlignment="1">
      <alignment horizontal="center"/>
    </xf>
    <xf numFmtId="0" fontId="64" fillId="36" borderId="10" xfId="0" applyFont="1" applyFill="1" applyBorder="1" applyAlignment="1">
      <alignment horizontal="center"/>
    </xf>
    <xf numFmtId="0" fontId="64" fillId="36" borderId="11" xfId="0" applyFont="1" applyFill="1" applyBorder="1" applyAlignment="1">
      <alignment horizontal="center"/>
    </xf>
    <xf numFmtId="2" fontId="36" fillId="0" borderId="4" xfId="0" applyNumberFormat="1" applyFont="1" applyBorder="1" applyAlignment="1">
      <alignment horizontal="center"/>
    </xf>
    <xf numFmtId="2" fontId="36" fillId="0" borderId="17" xfId="0" applyNumberFormat="1" applyFont="1" applyBorder="1" applyAlignment="1">
      <alignment horizontal="center"/>
    </xf>
    <xf numFmtId="2" fontId="36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9" fillId="19" borderId="1" xfId="0" applyFont="1" applyFill="1" applyBorder="1" applyAlignment="1">
      <alignment horizontal="center"/>
    </xf>
    <xf numFmtId="0" fontId="59" fillId="35" borderId="3" xfId="0" applyFont="1" applyFill="1" applyBorder="1" applyAlignment="1">
      <alignment horizontal="center"/>
    </xf>
    <xf numFmtId="0" fontId="59" fillId="35" borderId="11" xfId="0" applyFont="1" applyFill="1" applyBorder="1" applyAlignment="1">
      <alignment horizontal="center"/>
    </xf>
    <xf numFmtId="0" fontId="59" fillId="19" borderId="16" xfId="0" applyFont="1" applyFill="1" applyBorder="1" applyAlignment="1">
      <alignment horizontal="center"/>
    </xf>
    <xf numFmtId="0" fontId="59" fillId="19" borderId="20" xfId="0" applyFont="1" applyFill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20" borderId="1" xfId="0" applyFont="1" applyFill="1" applyBorder="1" applyAlignment="1">
      <alignment horizontal="center" wrapText="1"/>
    </xf>
    <xf numFmtId="0" fontId="54" fillId="0" borderId="1" xfId="0" applyFont="1" applyBorder="1" applyAlignment="1">
      <alignment horizontal="left"/>
    </xf>
    <xf numFmtId="164" fontId="53" fillId="0" borderId="3" xfId="0" applyNumberFormat="1" applyFont="1" applyBorder="1" applyAlignment="1">
      <alignment horizontal="center"/>
    </xf>
    <xf numFmtId="164" fontId="53" fillId="0" borderId="11" xfId="0" applyNumberFormat="1" applyFont="1" applyBorder="1" applyAlignment="1">
      <alignment horizontal="center"/>
    </xf>
    <xf numFmtId="164" fontId="53" fillId="0" borderId="1" xfId="0" applyNumberFormat="1" applyFont="1" applyBorder="1" applyAlignment="1">
      <alignment horizontal="center"/>
    </xf>
    <xf numFmtId="0" fontId="54" fillId="0" borderId="0" xfId="0" applyFont="1" applyAlignment="1">
      <alignment horizontal="center"/>
    </xf>
    <xf numFmtId="0" fontId="54" fillId="0" borderId="3" xfId="0" applyFont="1" applyBorder="1" applyAlignment="1">
      <alignment horizontal="left"/>
    </xf>
    <xf numFmtId="0" fontId="54" fillId="0" borderId="10" xfId="0" applyFont="1" applyBorder="1" applyAlignment="1">
      <alignment horizontal="left"/>
    </xf>
    <xf numFmtId="0" fontId="54" fillId="0" borderId="11" xfId="0" applyFont="1" applyBorder="1" applyAlignment="1">
      <alignment horizontal="left"/>
    </xf>
    <xf numFmtId="17" fontId="53" fillId="0" borderId="1" xfId="0" applyNumberFormat="1" applyFont="1" applyBorder="1" applyAlignment="1">
      <alignment horizontal="right"/>
    </xf>
    <xf numFmtId="164" fontId="53" fillId="0" borderId="1" xfId="0" applyNumberFormat="1" applyFont="1" applyBorder="1" applyAlignment="1">
      <alignment horizontal="right"/>
    </xf>
    <xf numFmtId="17" fontId="53" fillId="0" borderId="3" xfId="0" applyNumberFormat="1" applyFont="1" applyBorder="1" applyAlignment="1">
      <alignment horizontal="right"/>
    </xf>
    <xf numFmtId="17" fontId="53" fillId="0" borderId="11" xfId="0" applyNumberFormat="1" applyFont="1" applyBorder="1" applyAlignment="1">
      <alignment horizontal="right"/>
    </xf>
    <xf numFmtId="0" fontId="55" fillId="0" borderId="0" xfId="0" applyFont="1" applyAlignment="1">
      <alignment horizontal="center"/>
    </xf>
    <xf numFmtId="17" fontId="53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center"/>
    </xf>
    <xf numFmtId="164" fontId="46" fillId="10" borderId="1" xfId="0" applyNumberFormat="1" applyFont="1" applyFill="1" applyBorder="1" applyAlignment="1">
      <alignment horizontal="center" vertical="center" wrapText="1"/>
    </xf>
    <xf numFmtId="164" fontId="46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46" fillId="0" borderId="3" xfId="0" applyNumberFormat="1" applyFont="1" applyBorder="1" applyAlignment="1">
      <alignment horizontal="center" vertical="center" wrapText="1"/>
    </xf>
    <xf numFmtId="164" fontId="46" fillId="0" borderId="11" xfId="0" applyNumberFormat="1" applyFont="1" applyBorder="1" applyAlignment="1">
      <alignment horizontal="center" vertical="center" wrapText="1"/>
    </xf>
    <xf numFmtId="17" fontId="11" fillId="0" borderId="1" xfId="0" applyNumberFormat="1" applyFont="1" applyBorder="1" applyAlignment="1">
      <alignment horizontal="center"/>
    </xf>
    <xf numFmtId="17" fontId="12" fillId="12" borderId="12" xfId="0" applyNumberFormat="1" applyFont="1" applyFill="1" applyBorder="1" applyAlignment="1">
      <alignment horizontal="right" vertical="center"/>
    </xf>
    <xf numFmtId="17" fontId="12" fillId="12" borderId="2" xfId="0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left"/>
    </xf>
    <xf numFmtId="0" fontId="9" fillId="12" borderId="1" xfId="0" applyFont="1" applyFill="1" applyBorder="1" applyAlignment="1">
      <alignment horizontal="center"/>
    </xf>
    <xf numFmtId="167" fontId="5" fillId="30" borderId="3" xfId="0" applyNumberFormat="1" applyFont="1" applyFill="1" applyBorder="1" applyAlignment="1">
      <alignment horizontal="center"/>
    </xf>
    <xf numFmtId="167" fontId="5" fillId="30" borderId="1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0" fillId="0" borderId="1" xfId="0" applyFont="1" applyBorder="1" applyAlignment="1">
      <alignment horizontal="center" wrapText="1"/>
    </xf>
    <xf numFmtId="0" fontId="5" fillId="18" borderId="1" xfId="0" applyFont="1" applyFill="1" applyBorder="1" applyAlignment="1">
      <alignment horizontal="center" vertical="center"/>
    </xf>
    <xf numFmtId="164" fontId="28" fillId="0" borderId="12" xfId="0" applyNumberFormat="1" applyFont="1" applyBorder="1" applyAlignment="1">
      <alignment horizontal="right" vertical="center"/>
    </xf>
    <xf numFmtId="164" fontId="28" fillId="0" borderId="13" xfId="0" applyNumberFormat="1" applyFont="1" applyBorder="1" applyAlignment="1">
      <alignment horizontal="right" vertical="center"/>
    </xf>
    <xf numFmtId="164" fontId="28" fillId="0" borderId="2" xfId="0" applyNumberFormat="1" applyFont="1" applyBorder="1" applyAlignment="1">
      <alignment horizontal="right" vertical="center"/>
    </xf>
    <xf numFmtId="0" fontId="28" fillId="0" borderId="3" xfId="0" applyFont="1" applyBorder="1" applyAlignment="1">
      <alignment horizontal="left"/>
    </xf>
    <xf numFmtId="0" fontId="28" fillId="0" borderId="10" xfId="0" applyFont="1" applyBorder="1" applyAlignment="1">
      <alignment horizontal="left"/>
    </xf>
    <xf numFmtId="0" fontId="28" fillId="0" borderId="11" xfId="0" applyFont="1" applyBorder="1" applyAlignment="1">
      <alignment horizontal="left"/>
    </xf>
    <xf numFmtId="0" fontId="25" fillId="0" borderId="3" xfId="0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7" fillId="0" borderId="1" xfId="0" applyFont="1" applyBorder="1" applyAlignment="1">
      <alignment horizontal="center"/>
    </xf>
    <xf numFmtId="173" fontId="28" fillId="0" borderId="12" xfId="0" applyNumberFormat="1" applyFont="1" applyBorder="1" applyAlignment="1">
      <alignment horizontal="right" vertical="center"/>
    </xf>
    <xf numFmtId="173" fontId="28" fillId="0" borderId="13" xfId="0" applyNumberFormat="1" applyFont="1" applyBorder="1" applyAlignment="1">
      <alignment horizontal="right" vertical="center"/>
    </xf>
    <xf numFmtId="173" fontId="28" fillId="0" borderId="2" xfId="0" applyNumberFormat="1" applyFont="1" applyBorder="1" applyAlignment="1">
      <alignment horizontal="right" vertical="center"/>
    </xf>
    <xf numFmtId="0" fontId="28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164" fontId="28" fillId="0" borderId="1" xfId="0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7" fillId="13" borderId="1" xfId="0" applyFont="1" applyFill="1" applyBorder="1" applyAlignment="1">
      <alignment horizontal="center" vertical="center"/>
    </xf>
    <xf numFmtId="4" fontId="5" fillId="0" borderId="3" xfId="0" applyNumberFormat="1" applyFont="1" applyBorder="1" applyAlignment="1">
      <alignment horizontal="center"/>
    </xf>
    <xf numFmtId="4" fontId="5" fillId="0" borderId="10" xfId="0" applyNumberFormat="1" applyFont="1" applyBorder="1" applyAlignment="1">
      <alignment horizontal="center"/>
    </xf>
    <xf numFmtId="4" fontId="5" fillId="0" borderId="11" xfId="0" applyNumberFormat="1" applyFont="1" applyBorder="1" applyAlignment="1">
      <alignment horizontal="center"/>
    </xf>
    <xf numFmtId="167" fontId="9" fillId="0" borderId="1" xfId="0" applyNumberFormat="1" applyFont="1" applyBorder="1" applyAlignment="1">
      <alignment horizontal="center"/>
    </xf>
  </cellXfs>
  <cellStyles count="6">
    <cellStyle name="Good" xfId="3" builtinId="26"/>
    <cellStyle name="Hyperlink" xfId="5" builtinId="8"/>
    <cellStyle name="Normal" xfId="0" builtinId="0"/>
    <cellStyle name="Normal 2" xfId="1" xr:uid="{00000000-0005-0000-0000-000001000000}"/>
    <cellStyle name="Normal 2 2" xfId="4" xr:uid="{5E75C232-3D4C-4DB8-81D4-A223CE39811F}"/>
    <cellStyle name="Percent" xfId="2" builtinId="5"/>
  </cellStyles>
  <dxfs count="9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  <color theme="6" tint="-0.24994659260841701"/>
      </font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  <color theme="6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E8CBD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chartsheet" Target="chartsheets/sheet1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10" Type="http://schemas.openxmlformats.org/officeDocument/2006/relationships/worksheet" Target="worksheets/sheet9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Dues!$BR$12:$CG$12</c:f>
            </c:numRef>
          </c:val>
          <c:extLst>
            <c:ext xmlns:c16="http://schemas.microsoft.com/office/drawing/2014/chart" uri="{C3380CC4-5D6E-409C-BE32-E72D297353CC}">
              <c16:uniqueId val="{00000000-D0BD-4318-AA40-CDF9F0D412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Dues!$BR$13:$CG$13</c:f>
            </c:numRef>
          </c:val>
          <c:extLst>
            <c:ext xmlns:c16="http://schemas.microsoft.com/office/drawing/2014/chart" uri="{C3380CC4-5D6E-409C-BE32-E72D297353CC}">
              <c16:uniqueId val="{00000001-D0BD-4318-AA40-CDF9F0D412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Dues!$BR$15:$CG$15</c:f>
            </c:numRef>
          </c:val>
          <c:extLst>
            <c:ext xmlns:c16="http://schemas.microsoft.com/office/drawing/2014/chart" uri="{C3380CC4-5D6E-409C-BE32-E72D297353CC}">
              <c16:uniqueId val="{00000002-D0BD-4318-AA40-CDF9F0D412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Dues!$BR$17:$CG$17</c:f>
            </c:numRef>
          </c:val>
          <c:extLst>
            <c:ext xmlns:c16="http://schemas.microsoft.com/office/drawing/2014/chart" uri="{C3380CC4-5D6E-409C-BE32-E72D297353CC}">
              <c16:uniqueId val="{00000003-D0BD-4318-AA40-CDF9F0D4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993920"/>
        <c:axId val="909980608"/>
      </c:barChart>
      <c:catAx>
        <c:axId val="90999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80608"/>
        <c:crosses val="autoZero"/>
        <c:auto val="1"/>
        <c:lblAlgn val="ctr"/>
        <c:lblOffset val="100"/>
        <c:noMultiLvlLbl val="0"/>
      </c:catAx>
      <c:valAx>
        <c:axId val="9099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9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'My Total Dues (PLs)'!$J$1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'My Total Dues (PLs)'!$I$2:$I$84</c:f>
              <c:numCache>
                <c:formatCode>[$-409]mmm\-yy;@</c:formatCode>
                <c:ptCount val="83"/>
                <c:pt idx="0">
                  <c:v>43344</c:v>
                </c:pt>
                <c:pt idx="1">
                  <c:v>43374</c:v>
                </c:pt>
                <c:pt idx="2">
                  <c:v>43405</c:v>
                </c:pt>
                <c:pt idx="3">
                  <c:v>43435</c:v>
                </c:pt>
                <c:pt idx="4">
                  <c:v>43466</c:v>
                </c:pt>
                <c:pt idx="5">
                  <c:v>43497</c:v>
                </c:pt>
                <c:pt idx="6">
                  <c:v>43525</c:v>
                </c:pt>
                <c:pt idx="7">
                  <c:v>43556</c:v>
                </c:pt>
                <c:pt idx="8">
                  <c:v>43586</c:v>
                </c:pt>
                <c:pt idx="9">
                  <c:v>43617</c:v>
                </c:pt>
                <c:pt idx="10">
                  <c:v>43647</c:v>
                </c:pt>
                <c:pt idx="11">
                  <c:v>43678</c:v>
                </c:pt>
                <c:pt idx="12">
                  <c:v>43709</c:v>
                </c:pt>
                <c:pt idx="13">
                  <c:v>43739</c:v>
                </c:pt>
                <c:pt idx="14">
                  <c:v>43770</c:v>
                </c:pt>
                <c:pt idx="15">
                  <c:v>43800</c:v>
                </c:pt>
                <c:pt idx="16">
                  <c:v>43831</c:v>
                </c:pt>
                <c:pt idx="17">
                  <c:v>43862</c:v>
                </c:pt>
                <c:pt idx="18">
                  <c:v>43891</c:v>
                </c:pt>
                <c:pt idx="19">
                  <c:v>43922</c:v>
                </c:pt>
                <c:pt idx="20">
                  <c:v>43952</c:v>
                </c:pt>
                <c:pt idx="21">
                  <c:v>43983</c:v>
                </c:pt>
                <c:pt idx="22">
                  <c:v>44013</c:v>
                </c:pt>
                <c:pt idx="23">
                  <c:v>44044</c:v>
                </c:pt>
                <c:pt idx="24">
                  <c:v>44075</c:v>
                </c:pt>
                <c:pt idx="25">
                  <c:v>44105</c:v>
                </c:pt>
                <c:pt idx="26">
                  <c:v>44136</c:v>
                </c:pt>
                <c:pt idx="27">
                  <c:v>44166</c:v>
                </c:pt>
                <c:pt idx="28">
                  <c:v>44197</c:v>
                </c:pt>
                <c:pt idx="29">
                  <c:v>44228</c:v>
                </c:pt>
                <c:pt idx="30">
                  <c:v>44256</c:v>
                </c:pt>
                <c:pt idx="31">
                  <c:v>44287</c:v>
                </c:pt>
                <c:pt idx="32">
                  <c:v>44317</c:v>
                </c:pt>
                <c:pt idx="33">
                  <c:v>44348</c:v>
                </c:pt>
                <c:pt idx="34">
                  <c:v>44378</c:v>
                </c:pt>
                <c:pt idx="35">
                  <c:v>44409</c:v>
                </c:pt>
                <c:pt idx="36">
                  <c:v>44440</c:v>
                </c:pt>
                <c:pt idx="37">
                  <c:v>44470</c:v>
                </c:pt>
                <c:pt idx="38">
                  <c:v>44501</c:v>
                </c:pt>
                <c:pt idx="39">
                  <c:v>44531</c:v>
                </c:pt>
                <c:pt idx="40">
                  <c:v>44562</c:v>
                </c:pt>
                <c:pt idx="41">
                  <c:v>44593</c:v>
                </c:pt>
                <c:pt idx="42">
                  <c:v>44621</c:v>
                </c:pt>
                <c:pt idx="43">
                  <c:v>44652</c:v>
                </c:pt>
                <c:pt idx="44">
                  <c:v>44682</c:v>
                </c:pt>
                <c:pt idx="45">
                  <c:v>44713</c:v>
                </c:pt>
                <c:pt idx="46">
                  <c:v>44743</c:v>
                </c:pt>
                <c:pt idx="47">
                  <c:v>44774</c:v>
                </c:pt>
                <c:pt idx="48">
                  <c:v>44805</c:v>
                </c:pt>
                <c:pt idx="49">
                  <c:v>44835</c:v>
                </c:pt>
                <c:pt idx="50">
                  <c:v>44866</c:v>
                </c:pt>
                <c:pt idx="51">
                  <c:v>44896</c:v>
                </c:pt>
                <c:pt idx="52">
                  <c:v>44927</c:v>
                </c:pt>
                <c:pt idx="53">
                  <c:v>44958</c:v>
                </c:pt>
                <c:pt idx="54">
                  <c:v>44986</c:v>
                </c:pt>
                <c:pt idx="55">
                  <c:v>45017</c:v>
                </c:pt>
                <c:pt idx="56">
                  <c:v>45047</c:v>
                </c:pt>
                <c:pt idx="57">
                  <c:v>45078</c:v>
                </c:pt>
                <c:pt idx="58">
                  <c:v>45108</c:v>
                </c:pt>
                <c:pt idx="59">
                  <c:v>45139</c:v>
                </c:pt>
                <c:pt idx="60">
                  <c:v>45170</c:v>
                </c:pt>
                <c:pt idx="61">
                  <c:v>45200</c:v>
                </c:pt>
                <c:pt idx="62">
                  <c:v>45231</c:v>
                </c:pt>
                <c:pt idx="63">
                  <c:v>45261</c:v>
                </c:pt>
                <c:pt idx="64">
                  <c:v>45292</c:v>
                </c:pt>
                <c:pt idx="65">
                  <c:v>45323</c:v>
                </c:pt>
                <c:pt idx="66">
                  <c:v>45352</c:v>
                </c:pt>
                <c:pt idx="67">
                  <c:v>45383</c:v>
                </c:pt>
                <c:pt idx="68">
                  <c:v>45413</c:v>
                </c:pt>
                <c:pt idx="69">
                  <c:v>45444</c:v>
                </c:pt>
                <c:pt idx="70">
                  <c:v>45474</c:v>
                </c:pt>
                <c:pt idx="71">
                  <c:v>45505</c:v>
                </c:pt>
                <c:pt idx="72">
                  <c:v>45536</c:v>
                </c:pt>
                <c:pt idx="73">
                  <c:v>45566</c:v>
                </c:pt>
                <c:pt idx="74">
                  <c:v>45597</c:v>
                </c:pt>
                <c:pt idx="75">
                  <c:v>45627</c:v>
                </c:pt>
                <c:pt idx="76">
                  <c:v>45658</c:v>
                </c:pt>
                <c:pt idx="77">
                  <c:v>45689</c:v>
                </c:pt>
                <c:pt idx="78">
                  <c:v>45717</c:v>
                </c:pt>
                <c:pt idx="79">
                  <c:v>45748</c:v>
                </c:pt>
                <c:pt idx="80">
                  <c:v>45778</c:v>
                </c:pt>
                <c:pt idx="81">
                  <c:v>45809</c:v>
                </c:pt>
                <c:pt idx="82">
                  <c:v>45839</c:v>
                </c:pt>
              </c:numCache>
            </c:numRef>
          </c:cat>
          <c:val>
            <c:numRef>
              <c:f>'My Total Dues (PLs)'!$J$2:$J$84</c:f>
              <c:numCache>
                <c:formatCode>#,##0.00;[Red]#,##0.00</c:formatCode>
                <c:ptCount val="83"/>
                <c:pt idx="0">
                  <c:v>4575373.5</c:v>
                </c:pt>
                <c:pt idx="1">
                  <c:v>4489219.9000000004</c:v>
                </c:pt>
                <c:pt idx="2">
                  <c:v>4402451.5199999996</c:v>
                </c:pt>
                <c:pt idx="3">
                  <c:v>4414639.8</c:v>
                </c:pt>
                <c:pt idx="4">
                  <c:v>4629867.1499999994</c:v>
                </c:pt>
                <c:pt idx="5">
                  <c:v>4841480.9700000007</c:v>
                </c:pt>
                <c:pt idx="6">
                  <c:v>5128951.9499999993</c:v>
                </c:pt>
                <c:pt idx="7">
                  <c:v>4968593.97</c:v>
                </c:pt>
                <c:pt idx="8">
                  <c:v>4949976.1399999997</c:v>
                </c:pt>
                <c:pt idx="9">
                  <c:v>4530526.63</c:v>
                </c:pt>
                <c:pt idx="10">
                  <c:v>4128810.8</c:v>
                </c:pt>
                <c:pt idx="11">
                  <c:v>4236152.24</c:v>
                </c:pt>
                <c:pt idx="12">
                  <c:v>5167363.41</c:v>
                </c:pt>
                <c:pt idx="13">
                  <c:v>4736340.71</c:v>
                </c:pt>
                <c:pt idx="14">
                  <c:v>4070325.0600000005</c:v>
                </c:pt>
                <c:pt idx="15">
                  <c:v>3397936.1300000008</c:v>
                </c:pt>
                <c:pt idx="16">
                  <c:v>3308620.1800000006</c:v>
                </c:pt>
                <c:pt idx="17">
                  <c:v>3218947.9900000012</c:v>
                </c:pt>
                <c:pt idx="18">
                  <c:v>3127642.290000001</c:v>
                </c:pt>
                <c:pt idx="19">
                  <c:v>3035982.790000001</c:v>
                </c:pt>
                <c:pt idx="20">
                  <c:v>2943526.1400000011</c:v>
                </c:pt>
                <c:pt idx="21">
                  <c:v>2866843.9700000011</c:v>
                </c:pt>
                <c:pt idx="22">
                  <c:v>2789514.870000001</c:v>
                </c:pt>
                <c:pt idx="23">
                  <c:v>2711533.3900000011</c:v>
                </c:pt>
                <c:pt idx="24">
                  <c:v>2632894.040000001</c:v>
                </c:pt>
                <c:pt idx="25">
                  <c:v>2553590.3000000007</c:v>
                </c:pt>
                <c:pt idx="26">
                  <c:v>2473617.600000001</c:v>
                </c:pt>
                <c:pt idx="27">
                  <c:v>2392970.3400000008</c:v>
                </c:pt>
                <c:pt idx="28">
                  <c:v>2311642.870000001</c:v>
                </c:pt>
                <c:pt idx="29">
                  <c:v>2229628.5200000009</c:v>
                </c:pt>
                <c:pt idx="30">
                  <c:v>2146922.5500000007</c:v>
                </c:pt>
                <c:pt idx="31">
                  <c:v>2063518.2100000009</c:v>
                </c:pt>
                <c:pt idx="32">
                  <c:v>1979410.6900000009</c:v>
                </c:pt>
                <c:pt idx="33">
                  <c:v>1894593.1500000008</c:v>
                </c:pt>
                <c:pt idx="34">
                  <c:v>1809059.7000000011</c:v>
                </c:pt>
                <c:pt idx="35">
                  <c:v>1722804.4200000009</c:v>
                </c:pt>
                <c:pt idx="36">
                  <c:v>1635821.330000001</c:v>
                </c:pt>
                <c:pt idx="37">
                  <c:v>1548104.4300000011</c:v>
                </c:pt>
                <c:pt idx="38">
                  <c:v>1459646.6500000008</c:v>
                </c:pt>
                <c:pt idx="39">
                  <c:v>1370442.9000000008</c:v>
                </c:pt>
                <c:pt idx="40">
                  <c:v>1280486.040000001</c:v>
                </c:pt>
                <c:pt idx="41">
                  <c:v>1189769.8800000008</c:v>
                </c:pt>
                <c:pt idx="42">
                  <c:v>1098288.1900000009</c:v>
                </c:pt>
                <c:pt idx="43">
                  <c:v>1006033.7000000009</c:v>
                </c:pt>
                <c:pt idx="44">
                  <c:v>913001.0900000009</c:v>
                </c:pt>
                <c:pt idx="45">
                  <c:v>819183.00000000093</c:v>
                </c:pt>
                <c:pt idx="46">
                  <c:v>800010</c:v>
                </c:pt>
                <c:pt idx="47">
                  <c:v>780683</c:v>
                </c:pt>
                <c:pt idx="48">
                  <c:v>761201</c:v>
                </c:pt>
                <c:pt idx="49">
                  <c:v>741562</c:v>
                </c:pt>
                <c:pt idx="50">
                  <c:v>721765</c:v>
                </c:pt>
                <c:pt idx="51">
                  <c:v>701809</c:v>
                </c:pt>
                <c:pt idx="52">
                  <c:v>681692</c:v>
                </c:pt>
                <c:pt idx="53">
                  <c:v>661413</c:v>
                </c:pt>
                <c:pt idx="54">
                  <c:v>640971</c:v>
                </c:pt>
                <c:pt idx="55">
                  <c:v>620365</c:v>
                </c:pt>
                <c:pt idx="56">
                  <c:v>599593</c:v>
                </c:pt>
                <c:pt idx="57">
                  <c:v>578654</c:v>
                </c:pt>
                <c:pt idx="58">
                  <c:v>557546</c:v>
                </c:pt>
                <c:pt idx="59">
                  <c:v>536268</c:v>
                </c:pt>
                <c:pt idx="60">
                  <c:v>514819</c:v>
                </c:pt>
                <c:pt idx="61">
                  <c:v>493198</c:v>
                </c:pt>
                <c:pt idx="62">
                  <c:v>471403</c:v>
                </c:pt>
                <c:pt idx="63">
                  <c:v>449432</c:v>
                </c:pt>
                <c:pt idx="64">
                  <c:v>427284</c:v>
                </c:pt>
                <c:pt idx="65">
                  <c:v>404958</c:v>
                </c:pt>
                <c:pt idx="66">
                  <c:v>382452</c:v>
                </c:pt>
                <c:pt idx="67">
                  <c:v>359765</c:v>
                </c:pt>
                <c:pt idx="68">
                  <c:v>336896</c:v>
                </c:pt>
                <c:pt idx="69">
                  <c:v>313843</c:v>
                </c:pt>
                <c:pt idx="70">
                  <c:v>290604</c:v>
                </c:pt>
                <c:pt idx="71">
                  <c:v>267178</c:v>
                </c:pt>
                <c:pt idx="72">
                  <c:v>243563</c:v>
                </c:pt>
                <c:pt idx="73">
                  <c:v>219758</c:v>
                </c:pt>
                <c:pt idx="74">
                  <c:v>195759</c:v>
                </c:pt>
                <c:pt idx="75">
                  <c:v>171570</c:v>
                </c:pt>
                <c:pt idx="76">
                  <c:v>147186</c:v>
                </c:pt>
                <c:pt idx="77">
                  <c:v>122605</c:v>
                </c:pt>
                <c:pt idx="78">
                  <c:v>97827</c:v>
                </c:pt>
                <c:pt idx="79">
                  <c:v>72849</c:v>
                </c:pt>
                <c:pt idx="80">
                  <c:v>47670</c:v>
                </c:pt>
                <c:pt idx="81">
                  <c:v>22288</c:v>
                </c:pt>
                <c:pt idx="82">
                  <c:v>-3298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9-430B-9E55-3D2AFBA0D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352"/>
        <c:axId val="52549888"/>
      </c:lineChart>
      <c:dateAx>
        <c:axId val="5254835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crossAx val="52549888"/>
        <c:crosses val="autoZero"/>
        <c:auto val="1"/>
        <c:lblOffset val="100"/>
        <c:baseTimeUnit val="months"/>
      </c:dateAx>
      <c:valAx>
        <c:axId val="525498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5254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clusteredColumn" uniqueId="{42D0C207-3630-408F-B50F-DBE0BCE5C088}" formatIdx="0">
          <cx:tx>
            <cx:txData>
              <cx:f>_xlchart.v1.1</cx:f>
              <cx:v>Price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22D4F7-18D1-4A6A-AB58-C67BDFF302B8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4F7F1-5DC6-D679-67DF-347D522D6C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47631</xdr:colOff>
      <xdr:row>7</xdr:row>
      <xdr:rowOff>95256</xdr:rowOff>
    </xdr:from>
    <xdr:to>
      <xdr:col>23</xdr:col>
      <xdr:colOff>352431</xdr:colOff>
      <xdr:row>21</xdr:row>
      <xdr:rowOff>171456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D38BF9F-F6E9-FA29-F755-4FBF53D906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06081" y="142875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22412</xdr:colOff>
      <xdr:row>27</xdr:row>
      <xdr:rowOff>132511</xdr:rowOff>
    </xdr:from>
    <xdr:to>
      <xdr:col>31</xdr:col>
      <xdr:colOff>145677</xdr:colOff>
      <xdr:row>49</xdr:row>
      <xdr:rowOff>134472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0901@2227" TargetMode="External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mailto:Id@393019" TargetMode="External"/><Relationship Id="rId3" Type="http://schemas.openxmlformats.org/officeDocument/2006/relationships/hyperlink" Target="mailto:Ruthvika@170120" TargetMode="External"/><Relationship Id="rId7" Type="http://schemas.openxmlformats.org/officeDocument/2006/relationships/hyperlink" Target="mailto:Myhome@C204" TargetMode="External"/><Relationship Id="rId2" Type="http://schemas.openxmlformats.org/officeDocument/2006/relationships/hyperlink" Target="mailto:Divakar@1984#" TargetMode="External"/><Relationship Id="rId1" Type="http://schemas.openxmlformats.org/officeDocument/2006/relationships/hyperlink" Target="mailto:Nonu@2016#30" TargetMode="External"/><Relationship Id="rId6" Type="http://schemas.openxmlformats.org/officeDocument/2006/relationships/hyperlink" Target="mailto:Prestige@C204" TargetMode="External"/><Relationship Id="rId11" Type="http://schemas.openxmlformats.org/officeDocument/2006/relationships/comments" Target="../comments7.xml"/><Relationship Id="rId5" Type="http://schemas.openxmlformats.org/officeDocument/2006/relationships/hyperlink" Target="mailto:Ruthvika@230222" TargetMode="External"/><Relationship Id="rId10" Type="http://schemas.openxmlformats.org/officeDocument/2006/relationships/vmlDrawing" Target="../drawings/vmlDrawing7.vml"/><Relationship Id="rId4" Type="http://schemas.openxmlformats.org/officeDocument/2006/relationships/hyperlink" Target="mailto:Likhith@210490" TargetMode="External"/><Relationship Id="rId9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304"/>
  <sheetViews>
    <sheetView zoomScale="85" zoomScaleNormal="85" workbookViewId="0">
      <pane ySplit="2" topLeftCell="A252" activePane="bottomLeft" state="frozen"/>
      <selection pane="bottomLeft" activeCell="F280" sqref="F280"/>
    </sheetView>
  </sheetViews>
  <sheetFormatPr defaultColWidth="9.140625" defaultRowHeight="12.75" x14ac:dyDescent="0.2"/>
  <cols>
    <col min="1" max="1" width="10.5703125" style="54" bestFit="1" customWidth="1"/>
    <col min="2" max="2" width="5.85546875" style="54" customWidth="1"/>
    <col min="3" max="3" width="8.7109375" style="61" customWidth="1"/>
    <col min="4" max="4" width="8.7109375" style="54" customWidth="1"/>
    <col min="5" max="5" width="12.7109375" style="54" customWidth="1"/>
    <col min="6" max="6" width="8.7109375" style="54" customWidth="1"/>
    <col min="7" max="7" width="12" style="54" customWidth="1"/>
    <col min="8" max="9" width="12.28515625" style="54" customWidth="1"/>
    <col min="10" max="10" width="14.28515625" style="54" bestFit="1" customWidth="1"/>
    <col min="11" max="11" width="12.7109375" style="54" customWidth="1"/>
    <col min="12" max="12" width="15.28515625" style="54" bestFit="1" customWidth="1"/>
    <col min="13" max="13" width="7.140625" style="54" bestFit="1" customWidth="1"/>
    <col min="14" max="14" width="5.7109375" style="54" bestFit="1" customWidth="1"/>
    <col min="15" max="15" width="26.28515625" style="54" customWidth="1"/>
    <col min="16" max="17" width="12.7109375" style="54" customWidth="1"/>
    <col min="18" max="18" width="21.7109375" style="54" bestFit="1" customWidth="1"/>
    <col min="19" max="19" width="12.28515625" style="54" bestFit="1" customWidth="1"/>
    <col min="20" max="232" width="12.7109375" style="54" customWidth="1"/>
    <col min="233" max="16384" width="9.140625" style="54"/>
  </cols>
  <sheetData>
    <row r="1" spans="1:14" ht="19.5" customHeight="1" x14ac:dyDescent="0.2">
      <c r="A1" s="52" t="s">
        <v>0</v>
      </c>
      <c r="B1" s="52"/>
      <c r="C1" s="53"/>
      <c r="D1" s="51">
        <f>SUM(D3:D304)</f>
        <v>10572.455000000002</v>
      </c>
      <c r="E1" s="51">
        <f>SUM(E3:E304)</f>
        <v>3109.9933299999989</v>
      </c>
      <c r="F1" s="51">
        <f>SUM(F3:F304)</f>
        <v>-0.42667000000028565</v>
      </c>
      <c r="G1" s="51">
        <f>SUM(G3:G304)</f>
        <v>512.68000000000063</v>
      </c>
      <c r="H1" s="51">
        <f>SUM(H3:H304)</f>
        <v>579.05333333333181</v>
      </c>
      <c r="I1" s="51"/>
    </row>
    <row r="2" spans="1:14" x14ac:dyDescent="0.2">
      <c r="A2" s="55" t="s">
        <v>1</v>
      </c>
      <c r="B2" s="55" t="s">
        <v>2</v>
      </c>
      <c r="C2" s="56" t="s">
        <v>3</v>
      </c>
      <c r="D2" s="57" t="s">
        <v>4</v>
      </c>
      <c r="E2" s="57" t="s">
        <v>5</v>
      </c>
      <c r="F2" s="57" t="s">
        <v>6</v>
      </c>
      <c r="G2" s="57" t="s">
        <v>7</v>
      </c>
      <c r="H2" s="57" t="s">
        <v>8</v>
      </c>
      <c r="I2" s="57"/>
    </row>
    <row r="3" spans="1:14" x14ac:dyDescent="0.2">
      <c r="A3" s="58">
        <v>43021</v>
      </c>
      <c r="B3" s="58" t="s">
        <v>9</v>
      </c>
      <c r="C3" s="59"/>
      <c r="D3" s="51"/>
      <c r="E3" s="59">
        <v>-212.71</v>
      </c>
      <c r="F3" s="59">
        <v>128.33000000000001</v>
      </c>
      <c r="G3" s="59">
        <v>1240.45</v>
      </c>
      <c r="H3" s="59">
        <v>1440.14</v>
      </c>
      <c r="I3" s="59"/>
    </row>
    <row r="4" spans="1:14" x14ac:dyDescent="0.2">
      <c r="A4" s="58">
        <v>43024</v>
      </c>
      <c r="B4" s="12" t="s">
        <v>10</v>
      </c>
      <c r="C4" s="59">
        <v>398</v>
      </c>
      <c r="D4" s="59">
        <v>82.9</v>
      </c>
      <c r="E4" s="59"/>
      <c r="F4" s="59">
        <v>139.1</v>
      </c>
      <c r="G4" s="59"/>
      <c r="H4" s="59"/>
      <c r="I4" s="59"/>
    </row>
    <row r="5" spans="1:14" x14ac:dyDescent="0.2">
      <c r="A5" s="58">
        <v>43025</v>
      </c>
      <c r="B5" s="12" t="s">
        <v>11</v>
      </c>
      <c r="C5" s="59">
        <v>1574</v>
      </c>
      <c r="D5" s="59">
        <f>C5/4</f>
        <v>393.5</v>
      </c>
      <c r="E5" s="59">
        <v>393.5</v>
      </c>
      <c r="F5" s="59">
        <v>393.5</v>
      </c>
      <c r="G5" s="59">
        <v>393.5</v>
      </c>
      <c r="H5" s="59"/>
      <c r="I5" s="59"/>
      <c r="L5" s="54" t="s">
        <v>12</v>
      </c>
    </row>
    <row r="6" spans="1:14" x14ac:dyDescent="0.2">
      <c r="A6" s="58">
        <v>43025</v>
      </c>
      <c r="B6" s="12" t="s">
        <v>13</v>
      </c>
      <c r="C6" s="59">
        <v>100</v>
      </c>
      <c r="D6" s="59">
        <v>25</v>
      </c>
      <c r="E6" s="59">
        <v>25</v>
      </c>
      <c r="F6" s="59">
        <v>25</v>
      </c>
      <c r="G6" s="59">
        <v>25</v>
      </c>
      <c r="H6" s="59"/>
      <c r="I6" s="59"/>
      <c r="L6" s="54">
        <v>15.56</v>
      </c>
    </row>
    <row r="7" spans="1:14" x14ac:dyDescent="0.2">
      <c r="A7" s="58"/>
      <c r="B7" s="12"/>
      <c r="C7" s="59"/>
      <c r="D7" s="59"/>
      <c r="E7" s="59">
        <v>2000</v>
      </c>
      <c r="F7" s="59">
        <v>-100</v>
      </c>
      <c r="G7" s="59">
        <v>2000</v>
      </c>
      <c r="H7" s="59"/>
      <c r="I7" s="59"/>
      <c r="L7" s="54">
        <v>44.85</v>
      </c>
    </row>
    <row r="8" spans="1:14" x14ac:dyDescent="0.2">
      <c r="A8" s="58">
        <v>43026</v>
      </c>
      <c r="B8" s="12" t="s">
        <v>14</v>
      </c>
      <c r="C8" s="59">
        <v>347</v>
      </c>
      <c r="D8" s="59">
        <f>C8/3</f>
        <v>115.66666666666667</v>
      </c>
      <c r="E8" s="59">
        <v>115.67</v>
      </c>
      <c r="F8" s="59">
        <v>115.67</v>
      </c>
      <c r="G8" s="59"/>
      <c r="H8" s="59"/>
      <c r="I8" s="59"/>
      <c r="L8" s="54">
        <v>295.24</v>
      </c>
    </row>
    <row r="9" spans="1:14" x14ac:dyDescent="0.2">
      <c r="A9" s="58">
        <v>43032</v>
      </c>
      <c r="B9" s="12" t="s">
        <v>15</v>
      </c>
      <c r="C9" s="59"/>
      <c r="D9" s="59"/>
      <c r="E9" s="59"/>
      <c r="F9" s="59"/>
      <c r="G9" s="59"/>
      <c r="H9" s="59"/>
      <c r="I9" s="59"/>
    </row>
    <row r="10" spans="1:14" x14ac:dyDescent="0.2">
      <c r="A10" s="58"/>
      <c r="B10" s="12"/>
      <c r="C10" s="59"/>
      <c r="D10" s="59"/>
      <c r="E10" s="59">
        <v>6000</v>
      </c>
      <c r="F10" s="59">
        <v>1000</v>
      </c>
      <c r="G10" s="59"/>
      <c r="H10" s="59"/>
      <c r="I10" s="59"/>
    </row>
    <row r="11" spans="1:14" x14ac:dyDescent="0.2">
      <c r="A11" s="58"/>
      <c r="B11" s="12" t="s">
        <v>16</v>
      </c>
      <c r="C11" s="59"/>
      <c r="D11" s="59"/>
      <c r="E11" s="59">
        <v>150</v>
      </c>
      <c r="F11" s="59"/>
      <c r="G11" s="59"/>
      <c r="H11" s="59"/>
      <c r="I11" s="59"/>
    </row>
    <row r="12" spans="1:14" x14ac:dyDescent="0.2">
      <c r="A12" s="58">
        <v>43038</v>
      </c>
      <c r="B12" s="12"/>
      <c r="C12" s="59"/>
      <c r="D12" s="59"/>
      <c r="E12" s="59">
        <v>-8800</v>
      </c>
      <c r="F12" s="59">
        <v>-1000</v>
      </c>
      <c r="G12" s="59"/>
      <c r="H12" s="59"/>
      <c r="I12" s="59"/>
    </row>
    <row r="13" spans="1:14" x14ac:dyDescent="0.2">
      <c r="A13" s="58">
        <v>43039</v>
      </c>
      <c r="B13" s="12" t="s">
        <v>17</v>
      </c>
      <c r="C13" s="59"/>
      <c r="D13" s="59"/>
      <c r="E13" s="59"/>
      <c r="F13" s="59"/>
      <c r="G13" s="59"/>
      <c r="H13" s="59"/>
      <c r="I13" s="59"/>
    </row>
    <row r="14" spans="1:14" x14ac:dyDescent="0.2">
      <c r="A14" s="58">
        <v>43041</v>
      </c>
      <c r="B14" s="12" t="s">
        <v>15</v>
      </c>
      <c r="C14" s="59"/>
      <c r="D14" s="59">
        <v>-617.07000000000005</v>
      </c>
      <c r="E14" s="59">
        <v>328.54</v>
      </c>
      <c r="F14" s="59">
        <v>-701</v>
      </c>
      <c r="G14" s="59">
        <v>-3000</v>
      </c>
      <c r="H14" s="59"/>
      <c r="I14" s="59"/>
      <c r="L14" s="54" t="s">
        <v>18</v>
      </c>
      <c r="M14" s="54">
        <v>112400</v>
      </c>
    </row>
    <row r="15" spans="1:14" x14ac:dyDescent="0.2">
      <c r="A15" s="12"/>
      <c r="B15" s="12"/>
      <c r="C15" s="59"/>
      <c r="D15" s="59"/>
      <c r="E15" s="59"/>
      <c r="F15" s="59">
        <v>800</v>
      </c>
      <c r="G15" s="59"/>
      <c r="H15" s="59"/>
      <c r="I15" s="59"/>
      <c r="L15" s="54" t="s">
        <v>19</v>
      </c>
      <c r="M15" s="54">
        <v>-3400</v>
      </c>
      <c r="N15" s="54" t="s">
        <v>20</v>
      </c>
    </row>
    <row r="16" spans="1:14" x14ac:dyDescent="0.2">
      <c r="A16" s="58"/>
      <c r="B16" s="12"/>
      <c r="C16" s="59"/>
      <c r="D16" s="59"/>
      <c r="E16" s="59"/>
      <c r="F16" s="59"/>
      <c r="G16" s="59"/>
      <c r="H16" s="59"/>
      <c r="I16" s="59"/>
      <c r="L16" s="54" t="s">
        <v>21</v>
      </c>
      <c r="M16" s="54">
        <v>-5000</v>
      </c>
    </row>
    <row r="17" spans="1:14" x14ac:dyDescent="0.2">
      <c r="A17" s="58"/>
      <c r="B17" s="12" t="s">
        <v>22</v>
      </c>
      <c r="C17" s="59"/>
      <c r="D17" s="59"/>
      <c r="E17" s="59"/>
      <c r="F17" s="59"/>
      <c r="G17" s="59">
        <v>219</v>
      </c>
      <c r="H17" s="59"/>
      <c r="I17" s="59"/>
      <c r="L17" s="54" t="s">
        <v>6</v>
      </c>
      <c r="M17" s="54">
        <v>-5000</v>
      </c>
    </row>
    <row r="18" spans="1:14" x14ac:dyDescent="0.2">
      <c r="A18" s="58">
        <v>43051</v>
      </c>
      <c r="B18" s="12" t="s">
        <v>23</v>
      </c>
      <c r="C18" s="59"/>
      <c r="D18" s="59"/>
      <c r="E18" s="59"/>
      <c r="F18" s="59"/>
      <c r="G18" s="59"/>
      <c r="H18" s="59"/>
      <c r="I18" s="59"/>
      <c r="L18" s="54" t="s">
        <v>24</v>
      </c>
      <c r="M18" s="54">
        <v>-5000</v>
      </c>
      <c r="N18" s="54" t="s">
        <v>25</v>
      </c>
    </row>
    <row r="19" spans="1:14" x14ac:dyDescent="0.2">
      <c r="A19" s="58">
        <v>43053</v>
      </c>
      <c r="B19" s="12" t="s">
        <v>14</v>
      </c>
      <c r="C19" s="59">
        <v>800</v>
      </c>
      <c r="D19" s="59">
        <f>C19/4</f>
        <v>200</v>
      </c>
      <c r="E19" s="59">
        <v>200</v>
      </c>
      <c r="F19" s="59">
        <v>200</v>
      </c>
      <c r="G19" s="59"/>
      <c r="H19" s="59"/>
      <c r="I19" s="59"/>
      <c r="L19" s="54" t="s">
        <v>26</v>
      </c>
      <c r="M19" s="54">
        <v>-20000</v>
      </c>
      <c r="N19" s="54" t="s">
        <v>25</v>
      </c>
    </row>
    <row r="20" spans="1:14" x14ac:dyDescent="0.2">
      <c r="A20" s="58">
        <v>43053</v>
      </c>
      <c r="B20" s="12" t="s">
        <v>27</v>
      </c>
      <c r="C20" s="59">
        <v>150</v>
      </c>
      <c r="D20" s="59"/>
      <c r="E20" s="59"/>
      <c r="F20" s="59"/>
      <c r="G20" s="59">
        <v>150</v>
      </c>
      <c r="H20" s="59"/>
      <c r="I20" s="59"/>
      <c r="M20" s="54">
        <v>-3000</v>
      </c>
    </row>
    <row r="21" spans="1:14" x14ac:dyDescent="0.2">
      <c r="A21" s="58">
        <v>43053</v>
      </c>
      <c r="B21" s="12" t="s">
        <v>28</v>
      </c>
      <c r="C21" s="59">
        <v>40</v>
      </c>
      <c r="D21" s="59">
        <f>C21/4</f>
        <v>10</v>
      </c>
      <c r="E21" s="59">
        <v>10</v>
      </c>
      <c r="F21" s="59">
        <v>10</v>
      </c>
      <c r="G21" s="59"/>
      <c r="H21" s="59"/>
      <c r="I21" s="59"/>
      <c r="L21" s="54" t="s">
        <v>29</v>
      </c>
      <c r="M21" s="54">
        <v>-74000</v>
      </c>
    </row>
    <row r="22" spans="1:14" x14ac:dyDescent="0.2">
      <c r="A22" s="58">
        <v>43053</v>
      </c>
      <c r="B22" s="12" t="s">
        <v>30</v>
      </c>
      <c r="C22" s="59">
        <v>570</v>
      </c>
      <c r="D22" s="59">
        <f>C22/4</f>
        <v>142.5</v>
      </c>
      <c r="E22" s="59">
        <v>142.5</v>
      </c>
      <c r="F22" s="59">
        <v>142.5</v>
      </c>
      <c r="G22" s="59"/>
      <c r="H22" s="59"/>
      <c r="I22" s="59"/>
    </row>
    <row r="23" spans="1:14" x14ac:dyDescent="0.2">
      <c r="A23" s="58"/>
      <c r="B23" s="12"/>
      <c r="C23" s="59"/>
      <c r="D23" s="59"/>
      <c r="E23" s="59">
        <v>-370</v>
      </c>
      <c r="F23" s="59">
        <v>-840</v>
      </c>
      <c r="G23" s="59"/>
      <c r="H23" s="59"/>
      <c r="I23" s="59"/>
    </row>
    <row r="24" spans="1:14" x14ac:dyDescent="0.2">
      <c r="A24" s="58"/>
      <c r="B24" s="12"/>
      <c r="C24" s="59"/>
      <c r="D24" s="59"/>
      <c r="E24" s="59"/>
      <c r="F24" s="59">
        <v>-150</v>
      </c>
      <c r="G24" s="59"/>
      <c r="H24" s="59"/>
      <c r="I24" s="59"/>
    </row>
    <row r="25" spans="1:14" x14ac:dyDescent="0.2">
      <c r="A25" s="58">
        <v>43055</v>
      </c>
      <c r="B25" s="12" t="s">
        <v>31</v>
      </c>
      <c r="C25" s="59">
        <v>280</v>
      </c>
      <c r="D25" s="59">
        <f>C25/4</f>
        <v>70</v>
      </c>
      <c r="E25" s="59">
        <v>70</v>
      </c>
      <c r="F25" s="59">
        <v>70</v>
      </c>
      <c r="G25" s="59"/>
      <c r="H25" s="59">
        <v>70</v>
      </c>
      <c r="I25" s="59"/>
    </row>
    <row r="26" spans="1:14" x14ac:dyDescent="0.2">
      <c r="A26" s="58"/>
      <c r="B26" s="12"/>
      <c r="C26" s="59"/>
      <c r="D26" s="59"/>
      <c r="E26" s="59"/>
      <c r="F26" s="59">
        <v>-280</v>
      </c>
      <c r="G26" s="59"/>
      <c r="H26" s="59"/>
      <c r="I26" s="59"/>
    </row>
    <row r="27" spans="1:14" x14ac:dyDescent="0.2">
      <c r="A27" s="58">
        <v>43056</v>
      </c>
      <c r="B27" s="12" t="s">
        <v>31</v>
      </c>
      <c r="C27" s="59">
        <v>140</v>
      </c>
      <c r="D27" s="59">
        <v>70</v>
      </c>
      <c r="E27" s="59"/>
      <c r="F27" s="59"/>
      <c r="G27" s="59"/>
      <c r="H27" s="59">
        <v>70</v>
      </c>
      <c r="I27" s="59"/>
    </row>
    <row r="28" spans="1:14" x14ac:dyDescent="0.2">
      <c r="A28" s="58"/>
      <c r="B28" s="12"/>
      <c r="C28" s="59"/>
      <c r="D28" s="59"/>
      <c r="E28" s="59"/>
      <c r="F28" s="59"/>
      <c r="G28" s="59"/>
      <c r="H28" s="59">
        <v>-140</v>
      </c>
      <c r="I28" s="59"/>
    </row>
    <row r="29" spans="1:14" x14ac:dyDescent="0.2">
      <c r="A29" s="58">
        <v>43059</v>
      </c>
      <c r="B29" s="12" t="s">
        <v>32</v>
      </c>
      <c r="C29" s="59"/>
      <c r="D29" s="59"/>
      <c r="E29" s="59"/>
      <c r="F29" s="59"/>
      <c r="G29" s="59"/>
      <c r="H29" s="59">
        <v>-900</v>
      </c>
      <c r="I29" s="59"/>
    </row>
    <row r="30" spans="1:14" x14ac:dyDescent="0.2">
      <c r="A30" s="58">
        <v>43060</v>
      </c>
      <c r="B30" s="12" t="s">
        <v>33</v>
      </c>
      <c r="C30" s="59"/>
      <c r="D30" s="59"/>
      <c r="E30" s="59">
        <v>4940</v>
      </c>
      <c r="F30" s="59"/>
      <c r="G30" s="59"/>
      <c r="H30" s="59"/>
      <c r="I30" s="59"/>
    </row>
    <row r="31" spans="1:14" x14ac:dyDescent="0.2">
      <c r="A31" s="58">
        <v>43060</v>
      </c>
      <c r="B31" s="12" t="s">
        <v>34</v>
      </c>
      <c r="C31" s="59"/>
      <c r="D31" s="59"/>
      <c r="E31" s="59"/>
      <c r="F31" s="59"/>
      <c r="G31" s="59"/>
      <c r="H31" s="59">
        <v>-500</v>
      </c>
      <c r="I31" s="59"/>
    </row>
    <row r="32" spans="1:14" x14ac:dyDescent="0.2">
      <c r="A32" s="58">
        <v>43066</v>
      </c>
      <c r="B32" s="12" t="s">
        <v>35</v>
      </c>
      <c r="C32" s="59">
        <v>510</v>
      </c>
      <c r="D32" s="59"/>
      <c r="E32" s="59">
        <v>255</v>
      </c>
      <c r="F32" s="59">
        <v>255</v>
      </c>
      <c r="G32" s="59"/>
      <c r="H32" s="59"/>
      <c r="I32" s="59"/>
    </row>
    <row r="33" spans="1:9" x14ac:dyDescent="0.2">
      <c r="A33" s="58">
        <v>43069</v>
      </c>
      <c r="B33" s="12" t="s">
        <v>36</v>
      </c>
      <c r="C33" s="59">
        <v>357</v>
      </c>
      <c r="D33" s="59">
        <v>89.25</v>
      </c>
      <c r="E33" s="59">
        <v>89.25</v>
      </c>
      <c r="F33" s="59">
        <v>89.25</v>
      </c>
      <c r="G33" s="59"/>
      <c r="H33" s="59">
        <v>89.25</v>
      </c>
      <c r="I33" s="59"/>
    </row>
    <row r="34" spans="1:9" x14ac:dyDescent="0.2">
      <c r="A34" s="58">
        <v>43069</v>
      </c>
      <c r="B34" s="12" t="s">
        <v>37</v>
      </c>
      <c r="C34" s="59">
        <v>54</v>
      </c>
      <c r="D34" s="59">
        <v>18</v>
      </c>
      <c r="E34" s="59">
        <v>18</v>
      </c>
      <c r="F34" s="59"/>
      <c r="G34" s="59"/>
      <c r="H34" s="59">
        <v>18</v>
      </c>
      <c r="I34" s="59"/>
    </row>
    <row r="35" spans="1:9" x14ac:dyDescent="0.2">
      <c r="A35" s="58">
        <v>43069</v>
      </c>
      <c r="B35" s="12" t="s">
        <v>38</v>
      </c>
      <c r="C35" s="59">
        <v>157.5</v>
      </c>
      <c r="D35" s="59">
        <v>26.25</v>
      </c>
      <c r="E35" s="59">
        <v>52.5</v>
      </c>
      <c r="F35" s="59">
        <v>26.25</v>
      </c>
      <c r="G35" s="59"/>
      <c r="H35" s="59">
        <v>52.5</v>
      </c>
      <c r="I35" s="59"/>
    </row>
    <row r="36" spans="1:9" x14ac:dyDescent="0.2">
      <c r="A36" s="58">
        <v>43069</v>
      </c>
      <c r="B36" s="12" t="s">
        <v>39</v>
      </c>
      <c r="C36" s="59">
        <v>20</v>
      </c>
      <c r="D36" s="59">
        <v>5</v>
      </c>
      <c r="E36" s="59">
        <v>5</v>
      </c>
      <c r="F36" s="59">
        <v>5</v>
      </c>
      <c r="G36" s="59"/>
      <c r="H36" s="59">
        <v>5</v>
      </c>
      <c r="I36" s="59"/>
    </row>
    <row r="37" spans="1:9" x14ac:dyDescent="0.2">
      <c r="A37" s="58"/>
      <c r="B37" s="12"/>
      <c r="C37" s="59"/>
      <c r="D37" s="59"/>
      <c r="E37" s="59"/>
      <c r="F37" s="59">
        <v>-500</v>
      </c>
      <c r="G37" s="59"/>
      <c r="H37" s="59"/>
      <c r="I37" s="59"/>
    </row>
    <row r="38" spans="1:9" x14ac:dyDescent="0.2">
      <c r="A38" s="58">
        <v>43069</v>
      </c>
      <c r="B38" s="12" t="s">
        <v>17</v>
      </c>
      <c r="C38" s="59"/>
      <c r="D38" s="59"/>
      <c r="E38" s="59"/>
      <c r="F38" s="59"/>
      <c r="G38" s="59"/>
      <c r="H38" s="59"/>
      <c r="I38" s="59"/>
    </row>
    <row r="39" spans="1:9" x14ac:dyDescent="0.2">
      <c r="A39" s="58"/>
      <c r="B39" s="12" t="s">
        <v>40</v>
      </c>
      <c r="C39" s="59"/>
      <c r="D39" s="59"/>
      <c r="E39" s="59"/>
      <c r="F39" s="59"/>
      <c r="G39" s="59"/>
      <c r="H39" s="59"/>
      <c r="I39" s="59"/>
    </row>
    <row r="40" spans="1:9" x14ac:dyDescent="0.2">
      <c r="A40" s="58"/>
      <c r="B40" s="12"/>
      <c r="C40" s="59"/>
      <c r="D40" s="59"/>
      <c r="E40" s="59"/>
      <c r="F40" s="59"/>
      <c r="G40" s="59"/>
      <c r="H40" s="59"/>
      <c r="I40" s="59"/>
    </row>
    <row r="41" spans="1:9" x14ac:dyDescent="0.2">
      <c r="A41" s="58"/>
      <c r="B41" s="12" t="s">
        <v>41</v>
      </c>
      <c r="C41" s="59"/>
      <c r="D41" s="59"/>
      <c r="E41" s="59"/>
      <c r="F41" s="59"/>
      <c r="G41" s="59">
        <v>200</v>
      </c>
      <c r="H41" s="59"/>
      <c r="I41" s="59"/>
    </row>
    <row r="42" spans="1:9" x14ac:dyDescent="0.2">
      <c r="A42" s="58">
        <v>43073</v>
      </c>
      <c r="B42" s="12" t="s">
        <v>42</v>
      </c>
      <c r="C42" s="59"/>
      <c r="D42" s="59"/>
      <c r="E42" s="59">
        <v>-5000</v>
      </c>
      <c r="F42" s="59"/>
      <c r="G42" s="59">
        <v>-1500</v>
      </c>
      <c r="H42" s="59"/>
      <c r="I42" s="59"/>
    </row>
    <row r="43" spans="1:9" x14ac:dyDescent="0.2">
      <c r="A43" s="58">
        <v>43083</v>
      </c>
      <c r="B43" s="12" t="s">
        <v>43</v>
      </c>
      <c r="C43" s="59"/>
      <c r="D43" s="59"/>
      <c r="E43" s="59"/>
      <c r="F43" s="59"/>
      <c r="G43" s="59"/>
      <c r="H43" s="59">
        <v>-10993</v>
      </c>
      <c r="I43" s="59"/>
    </row>
    <row r="44" spans="1:9" x14ac:dyDescent="0.2">
      <c r="A44" s="58">
        <v>43083</v>
      </c>
      <c r="B44" s="12" t="s">
        <v>44</v>
      </c>
      <c r="C44" s="59"/>
      <c r="D44" s="59">
        <v>50</v>
      </c>
      <c r="E44" s="59">
        <v>50</v>
      </c>
      <c r="F44" s="59">
        <v>75</v>
      </c>
      <c r="G44" s="59"/>
      <c r="H44" s="59">
        <v>75</v>
      </c>
      <c r="I44" s="59"/>
    </row>
    <row r="45" spans="1:9" x14ac:dyDescent="0.2">
      <c r="A45" s="58"/>
      <c r="B45" s="12"/>
      <c r="C45" s="59"/>
      <c r="D45" s="59"/>
      <c r="E45" s="59"/>
      <c r="F45" s="59"/>
      <c r="G45" s="59"/>
      <c r="H45" s="59">
        <v>-250</v>
      </c>
      <c r="I45" s="59"/>
    </row>
    <row r="46" spans="1:9" x14ac:dyDescent="0.2">
      <c r="A46" s="58">
        <v>43085</v>
      </c>
      <c r="B46" s="12" t="s">
        <v>45</v>
      </c>
      <c r="C46" s="59"/>
      <c r="D46" s="59"/>
      <c r="E46" s="59"/>
      <c r="F46" s="59"/>
      <c r="G46" s="59"/>
      <c r="H46" s="59">
        <v>2087</v>
      </c>
      <c r="I46" s="59"/>
    </row>
    <row r="47" spans="1:9" x14ac:dyDescent="0.2">
      <c r="A47" s="58">
        <v>43087</v>
      </c>
      <c r="B47" s="12" t="s">
        <v>42</v>
      </c>
      <c r="C47" s="59"/>
      <c r="D47" s="59"/>
      <c r="E47" s="59"/>
      <c r="F47" s="59"/>
      <c r="G47" s="59"/>
      <c r="H47" s="59">
        <v>8000</v>
      </c>
      <c r="I47" s="59"/>
    </row>
    <row r="48" spans="1:9" x14ac:dyDescent="0.2">
      <c r="A48" s="58">
        <v>43084</v>
      </c>
      <c r="B48" s="12" t="s">
        <v>46</v>
      </c>
      <c r="C48" s="59">
        <v>703</v>
      </c>
      <c r="D48" s="59">
        <f>C48/3</f>
        <v>234.33333333333334</v>
      </c>
      <c r="E48" s="59">
        <v>234.33</v>
      </c>
      <c r="F48" s="59">
        <v>234.33</v>
      </c>
      <c r="G48" s="59"/>
      <c r="H48" s="59"/>
      <c r="I48" s="59"/>
    </row>
    <row r="49" spans="1:16" x14ac:dyDescent="0.2">
      <c r="A49" s="58"/>
      <c r="B49" s="12" t="s">
        <v>47</v>
      </c>
      <c r="C49" s="59">
        <v>1200</v>
      </c>
      <c r="D49" s="59"/>
      <c r="E49" s="59"/>
      <c r="F49" s="59"/>
      <c r="G49" s="59">
        <v>600</v>
      </c>
      <c r="H49" s="59"/>
      <c r="I49" s="59"/>
    </row>
    <row r="50" spans="1:16" x14ac:dyDescent="0.2">
      <c r="A50" s="58"/>
      <c r="B50" s="12"/>
      <c r="C50" s="59"/>
      <c r="D50" s="59"/>
      <c r="E50" s="59"/>
      <c r="F50" s="59"/>
      <c r="G50" s="59"/>
      <c r="H50" s="59"/>
      <c r="I50" s="59"/>
    </row>
    <row r="51" spans="1:16" x14ac:dyDescent="0.2">
      <c r="A51" s="58"/>
      <c r="B51" s="12"/>
      <c r="C51" s="59"/>
      <c r="D51" s="59"/>
      <c r="E51" s="59"/>
      <c r="F51" s="59"/>
      <c r="G51" s="59"/>
      <c r="H51" s="59"/>
      <c r="I51" s="59"/>
      <c r="O51" s="77" t="s">
        <v>48</v>
      </c>
      <c r="P51" s="77" t="s">
        <v>49</v>
      </c>
    </row>
    <row r="52" spans="1:16" x14ac:dyDescent="0.2">
      <c r="A52" s="58">
        <v>43102</v>
      </c>
      <c r="B52" s="12" t="s">
        <v>50</v>
      </c>
      <c r="C52" s="59"/>
      <c r="D52" s="59"/>
      <c r="E52" s="59"/>
      <c r="F52" s="59">
        <v>5000</v>
      </c>
      <c r="G52" s="59"/>
      <c r="H52" s="59">
        <v>12000</v>
      </c>
      <c r="I52" s="59"/>
      <c r="O52" s="80" t="s">
        <v>51</v>
      </c>
      <c r="P52" s="79">
        <v>43226</v>
      </c>
    </row>
    <row r="53" spans="1:16" x14ac:dyDescent="0.2">
      <c r="A53" s="58">
        <v>43102</v>
      </c>
      <c r="B53" s="12" t="s">
        <v>52</v>
      </c>
      <c r="C53" s="59"/>
      <c r="D53" s="59"/>
      <c r="E53" s="59"/>
      <c r="F53" s="59">
        <v>-5600</v>
      </c>
      <c r="G53" s="59"/>
      <c r="H53" s="59">
        <v>-150</v>
      </c>
      <c r="I53" s="59"/>
      <c r="O53" s="80" t="s">
        <v>53</v>
      </c>
      <c r="P53" s="79">
        <v>43226</v>
      </c>
    </row>
    <row r="54" spans="1:16" x14ac:dyDescent="0.2">
      <c r="A54" s="58">
        <v>43103</v>
      </c>
      <c r="B54" s="12" t="s">
        <v>10</v>
      </c>
      <c r="C54" s="59">
        <v>291.89999999999998</v>
      </c>
      <c r="D54" s="59">
        <f>C54/2</f>
        <v>145.94999999999999</v>
      </c>
      <c r="E54" s="59"/>
      <c r="F54" s="59">
        <v>145.94999999999999</v>
      </c>
      <c r="G54" s="59"/>
      <c r="H54" s="59"/>
      <c r="I54" s="59"/>
      <c r="O54" s="80"/>
      <c r="P54" s="79"/>
    </row>
    <row r="55" spans="1:16" x14ac:dyDescent="0.2">
      <c r="A55" s="58">
        <v>43103</v>
      </c>
      <c r="B55" s="12" t="s">
        <v>10</v>
      </c>
      <c r="C55" s="59">
        <v>124.95</v>
      </c>
      <c r="D55" s="59">
        <f>C55/2</f>
        <v>62.475000000000001</v>
      </c>
      <c r="E55" s="59"/>
      <c r="F55" s="59">
        <v>62.48</v>
      </c>
      <c r="G55" s="59"/>
      <c r="H55" s="59"/>
      <c r="I55" s="59"/>
      <c r="O55" s="80"/>
      <c r="P55" s="79"/>
    </row>
    <row r="56" spans="1:16" x14ac:dyDescent="0.2">
      <c r="A56" s="58">
        <v>43103</v>
      </c>
      <c r="B56" s="12" t="s">
        <v>10</v>
      </c>
      <c r="C56" s="59">
        <v>84</v>
      </c>
      <c r="D56" s="59"/>
      <c r="E56" s="59"/>
      <c r="F56" s="59"/>
      <c r="G56" s="59"/>
      <c r="H56" s="59"/>
      <c r="I56" s="59"/>
      <c r="O56" s="78"/>
      <c r="P56" s="79"/>
    </row>
    <row r="57" spans="1:16" x14ac:dyDescent="0.2">
      <c r="A57" s="58">
        <v>43091</v>
      </c>
      <c r="B57" s="12" t="s">
        <v>54</v>
      </c>
      <c r="C57" s="59"/>
      <c r="D57" s="59"/>
      <c r="E57" s="59"/>
      <c r="F57" s="59"/>
      <c r="G57" s="59"/>
      <c r="H57" s="59">
        <v>-11000</v>
      </c>
      <c r="I57" s="59"/>
      <c r="O57" s="80"/>
      <c r="P57" s="79"/>
    </row>
    <row r="58" spans="1:16" x14ac:dyDescent="0.2">
      <c r="A58" s="58">
        <v>43105</v>
      </c>
      <c r="B58" s="12" t="s">
        <v>52</v>
      </c>
      <c r="C58" s="59">
        <v>347</v>
      </c>
      <c r="D58" s="59">
        <f>C58/4</f>
        <v>86.75</v>
      </c>
      <c r="E58" s="59">
        <v>86.75</v>
      </c>
      <c r="F58" s="59">
        <v>86.75</v>
      </c>
      <c r="G58" s="59"/>
      <c r="H58" s="59">
        <v>86.75</v>
      </c>
      <c r="I58" s="59"/>
      <c r="O58" s="80"/>
      <c r="P58" s="79"/>
    </row>
    <row r="59" spans="1:16" x14ac:dyDescent="0.2">
      <c r="A59" s="58">
        <v>43108</v>
      </c>
      <c r="B59" s="12" t="s">
        <v>55</v>
      </c>
      <c r="C59" s="59"/>
      <c r="D59" s="59"/>
      <c r="E59" s="59"/>
      <c r="F59" s="59">
        <v>160</v>
      </c>
      <c r="G59" s="59"/>
      <c r="H59" s="59"/>
      <c r="I59" s="59"/>
      <c r="O59" s="80"/>
      <c r="P59" s="79"/>
    </row>
    <row r="60" spans="1:16" x14ac:dyDescent="0.2">
      <c r="A60" s="58">
        <v>43111</v>
      </c>
      <c r="B60" s="12" t="s">
        <v>50</v>
      </c>
      <c r="C60" s="59"/>
      <c r="D60" s="59"/>
      <c r="E60" s="59"/>
      <c r="F60" s="59"/>
      <c r="G60" s="59">
        <v>500</v>
      </c>
      <c r="H60" s="59"/>
      <c r="I60" s="59"/>
      <c r="O60" s="80"/>
      <c r="P60" s="79"/>
    </row>
    <row r="61" spans="1:16" x14ac:dyDescent="0.2">
      <c r="A61" s="58">
        <v>43112</v>
      </c>
      <c r="B61" s="12" t="s">
        <v>52</v>
      </c>
      <c r="C61" s="59">
        <v>347</v>
      </c>
      <c r="D61" s="59">
        <v>86.75</v>
      </c>
      <c r="E61" s="59">
        <v>86.75</v>
      </c>
      <c r="F61" s="59">
        <v>86.75</v>
      </c>
      <c r="G61" s="59"/>
      <c r="H61" s="59">
        <v>86.75</v>
      </c>
      <c r="I61" s="59"/>
      <c r="O61" s="81"/>
      <c r="P61" s="81"/>
    </row>
    <row r="62" spans="1:16" x14ac:dyDescent="0.2">
      <c r="A62" s="58"/>
      <c r="B62" s="12"/>
      <c r="C62" s="59"/>
      <c r="D62" s="59"/>
      <c r="E62" s="59"/>
      <c r="F62" s="59"/>
      <c r="G62" s="59"/>
      <c r="H62" s="59">
        <v>-347</v>
      </c>
      <c r="I62" s="59"/>
      <c r="O62" s="81"/>
      <c r="P62" s="81"/>
    </row>
    <row r="63" spans="1:16" x14ac:dyDescent="0.2">
      <c r="A63" s="58">
        <v>43112</v>
      </c>
      <c r="B63" s="12" t="s">
        <v>56</v>
      </c>
      <c r="C63" s="59"/>
      <c r="D63" s="59"/>
      <c r="E63" s="59"/>
      <c r="F63" s="59"/>
      <c r="G63" s="59"/>
      <c r="H63" s="59">
        <v>400</v>
      </c>
      <c r="I63" s="59"/>
      <c r="O63" s="81" t="s">
        <v>57</v>
      </c>
      <c r="P63" s="81"/>
    </row>
    <row r="64" spans="1:16" x14ac:dyDescent="0.2">
      <c r="A64" s="58">
        <v>43118</v>
      </c>
      <c r="B64" s="12" t="s">
        <v>58</v>
      </c>
      <c r="C64" s="59">
        <v>650</v>
      </c>
      <c r="D64" s="59">
        <f>C64/4</f>
        <v>162.5</v>
      </c>
      <c r="E64" s="59">
        <v>162.5</v>
      </c>
      <c r="F64" s="59">
        <v>162.5</v>
      </c>
      <c r="G64" s="59"/>
      <c r="H64" s="59">
        <v>162.5</v>
      </c>
      <c r="I64" s="59"/>
    </row>
    <row r="65" spans="1:19" x14ac:dyDescent="0.2">
      <c r="A65" s="58">
        <v>43119</v>
      </c>
      <c r="B65" s="12" t="s">
        <v>10</v>
      </c>
      <c r="C65" s="59">
        <v>561</v>
      </c>
      <c r="D65" s="59">
        <v>166.67</v>
      </c>
      <c r="E65" s="59">
        <v>166.67</v>
      </c>
      <c r="F65" s="59">
        <v>166.67</v>
      </c>
      <c r="G65" s="59">
        <v>61.57</v>
      </c>
      <c r="H65" s="59"/>
      <c r="I65" s="59"/>
    </row>
    <row r="66" spans="1:19" x14ac:dyDescent="0.2">
      <c r="A66" s="58">
        <v>43119</v>
      </c>
      <c r="B66" s="12" t="s">
        <v>42</v>
      </c>
      <c r="C66" s="59"/>
      <c r="D66" s="59"/>
      <c r="E66" s="59"/>
      <c r="F66" s="59"/>
      <c r="G66" s="59">
        <v>-1000</v>
      </c>
      <c r="H66" s="59"/>
      <c r="I66" s="59"/>
    </row>
    <row r="67" spans="1:19" x14ac:dyDescent="0.2">
      <c r="A67" s="58">
        <v>43123</v>
      </c>
      <c r="B67" s="12" t="s">
        <v>10</v>
      </c>
      <c r="C67" s="59">
        <v>216</v>
      </c>
      <c r="D67" s="59">
        <f>C67/3</f>
        <v>72</v>
      </c>
      <c r="E67" s="59">
        <v>72</v>
      </c>
      <c r="F67" s="59">
        <v>72</v>
      </c>
      <c r="G67" s="59"/>
      <c r="H67" s="59"/>
      <c r="I67" s="59"/>
      <c r="O67" s="586" t="s">
        <v>59</v>
      </c>
      <c r="P67" s="586"/>
      <c r="R67" s="586"/>
      <c r="S67" s="586"/>
    </row>
    <row r="68" spans="1:19" x14ac:dyDescent="0.2">
      <c r="A68" s="58">
        <v>43124</v>
      </c>
      <c r="B68" s="12" t="s">
        <v>60</v>
      </c>
      <c r="C68" s="59">
        <v>999</v>
      </c>
      <c r="D68" s="59">
        <f>C68/4</f>
        <v>249.75</v>
      </c>
      <c r="E68" s="59"/>
      <c r="F68" s="59">
        <v>249.75</v>
      </c>
      <c r="G68" s="59">
        <v>249.75</v>
      </c>
      <c r="H68" s="59">
        <v>249.75</v>
      </c>
      <c r="I68" s="59"/>
      <c r="O68" s="12" t="s">
        <v>61</v>
      </c>
      <c r="P68" s="97">
        <v>43150</v>
      </c>
      <c r="R68" s="12"/>
      <c r="S68" s="97"/>
    </row>
    <row r="69" spans="1:19" x14ac:dyDescent="0.2">
      <c r="A69" s="58">
        <v>43125</v>
      </c>
      <c r="B69" s="12" t="s">
        <v>62</v>
      </c>
      <c r="C69" s="59">
        <v>405</v>
      </c>
      <c r="D69" s="59"/>
      <c r="E69" s="59"/>
      <c r="F69" s="59"/>
      <c r="G69" s="59">
        <v>405</v>
      </c>
      <c r="H69" s="59"/>
      <c r="I69" s="59"/>
      <c r="O69" s="12" t="s">
        <v>63</v>
      </c>
      <c r="P69" s="97">
        <v>43200</v>
      </c>
      <c r="R69" s="12"/>
      <c r="S69" s="97"/>
    </row>
    <row r="70" spans="1:19" x14ac:dyDescent="0.2">
      <c r="A70" s="58"/>
      <c r="B70" s="12"/>
      <c r="C70" s="59"/>
      <c r="D70" s="59"/>
      <c r="E70" s="59"/>
      <c r="F70" s="59"/>
      <c r="G70" s="59"/>
      <c r="H70" s="59"/>
      <c r="I70" s="59"/>
      <c r="O70" s="12" t="s">
        <v>64</v>
      </c>
      <c r="P70" s="12">
        <f>P69-P68+1</f>
        <v>51</v>
      </c>
      <c r="R70" s="12" t="s">
        <v>64</v>
      </c>
      <c r="S70" s="12">
        <v>30</v>
      </c>
    </row>
    <row r="71" spans="1:19" x14ac:dyDescent="0.2">
      <c r="A71" s="58">
        <v>43132</v>
      </c>
      <c r="B71" s="12" t="s">
        <v>65</v>
      </c>
      <c r="C71" s="59"/>
      <c r="D71" s="59"/>
      <c r="E71" s="59"/>
      <c r="F71" s="59">
        <v>2000</v>
      </c>
      <c r="G71" s="59"/>
      <c r="H71" s="59"/>
      <c r="I71" s="59"/>
      <c r="O71" s="12" t="s">
        <v>66</v>
      </c>
      <c r="P71" s="12">
        <f>15.25/12</f>
        <v>1.2708333333333333</v>
      </c>
      <c r="R71" s="12" t="s">
        <v>66</v>
      </c>
      <c r="S71" s="12">
        <f>15.25/12</f>
        <v>1.2708333333333333</v>
      </c>
    </row>
    <row r="72" spans="1:19" x14ac:dyDescent="0.2">
      <c r="A72" s="58"/>
      <c r="B72" s="12"/>
      <c r="C72" s="59"/>
      <c r="D72" s="59"/>
      <c r="E72" s="59"/>
      <c r="F72" s="59"/>
      <c r="G72" s="59"/>
      <c r="H72" s="59"/>
      <c r="I72" s="59"/>
      <c r="O72" s="12" t="s">
        <v>67</v>
      </c>
      <c r="P72" s="12">
        <f>P71/30</f>
        <v>4.2361111111111106E-2</v>
      </c>
      <c r="R72" s="12" t="s">
        <v>67</v>
      </c>
      <c r="S72" s="12">
        <f>S71/30</f>
        <v>4.2361111111111106E-2</v>
      </c>
    </row>
    <row r="73" spans="1:19" x14ac:dyDescent="0.2">
      <c r="A73" s="58">
        <v>43138</v>
      </c>
      <c r="B73" s="12" t="s">
        <v>10</v>
      </c>
      <c r="C73" s="59">
        <v>382</v>
      </c>
      <c r="D73" s="59">
        <v>99</v>
      </c>
      <c r="E73" s="59">
        <v>99</v>
      </c>
      <c r="F73" s="59"/>
      <c r="G73" s="59">
        <v>85</v>
      </c>
      <c r="H73" s="59">
        <v>99</v>
      </c>
      <c r="I73" s="59"/>
      <c r="O73" s="12" t="s">
        <v>68</v>
      </c>
      <c r="P73" s="59">
        <v>200000</v>
      </c>
      <c r="R73" s="12" t="s">
        <v>68</v>
      </c>
      <c r="S73" s="59">
        <v>700000</v>
      </c>
    </row>
    <row r="74" spans="1:19" x14ac:dyDescent="0.2">
      <c r="A74" s="58"/>
      <c r="B74" s="12" t="s">
        <v>69</v>
      </c>
      <c r="C74" s="59"/>
      <c r="D74" s="59"/>
      <c r="E74" s="59">
        <v>-550</v>
      </c>
      <c r="F74" s="59"/>
      <c r="G74" s="59"/>
      <c r="H74" s="59">
        <v>-420</v>
      </c>
      <c r="I74" s="59"/>
      <c r="O74" s="12" t="s">
        <v>70</v>
      </c>
      <c r="P74" s="59">
        <f>P73*P70*P72/100</f>
        <v>4320.8333333333321</v>
      </c>
      <c r="R74" s="12" t="s">
        <v>70</v>
      </c>
      <c r="S74" s="59">
        <f>S73*S70*S72/100</f>
        <v>8895.8333333333321</v>
      </c>
    </row>
    <row r="75" spans="1:19" x14ac:dyDescent="0.2">
      <c r="A75" s="58"/>
      <c r="B75" s="12" t="s">
        <v>71</v>
      </c>
      <c r="C75" s="59"/>
      <c r="D75" s="59"/>
      <c r="E75" s="59"/>
      <c r="F75" s="59">
        <v>150</v>
      </c>
      <c r="G75" s="59"/>
      <c r="H75" s="59"/>
      <c r="I75" s="59"/>
      <c r="O75" s="12" t="s">
        <v>72</v>
      </c>
      <c r="P75" s="12">
        <v>-2541.67</v>
      </c>
    </row>
    <row r="76" spans="1:19" x14ac:dyDescent="0.2">
      <c r="A76" s="58">
        <v>43152</v>
      </c>
      <c r="B76" s="12" t="s">
        <v>58</v>
      </c>
      <c r="C76" s="59">
        <v>365</v>
      </c>
      <c r="D76" s="59">
        <f>C76/5</f>
        <v>73</v>
      </c>
      <c r="E76" s="59">
        <v>73</v>
      </c>
      <c r="F76" s="59">
        <v>73</v>
      </c>
      <c r="G76" s="59">
        <v>73</v>
      </c>
      <c r="H76" s="59">
        <v>73</v>
      </c>
      <c r="I76" s="59"/>
      <c r="O76" s="12" t="s">
        <v>0</v>
      </c>
      <c r="P76" s="59">
        <f>SUM(P74:P75)</f>
        <v>1779.163333333332</v>
      </c>
    </row>
    <row r="77" spans="1:19" x14ac:dyDescent="0.2">
      <c r="A77" s="58"/>
      <c r="B77" s="12"/>
      <c r="C77" s="59"/>
      <c r="D77" s="59"/>
      <c r="E77" s="59">
        <v>-365</v>
      </c>
      <c r="F77" s="59"/>
      <c r="G77" s="59"/>
      <c r="H77" s="59"/>
      <c r="I77" s="59"/>
    </row>
    <row r="78" spans="1:19" x14ac:dyDescent="0.2">
      <c r="A78" s="58"/>
      <c r="B78" s="12" t="s">
        <v>73</v>
      </c>
      <c r="C78" s="59">
        <v>80</v>
      </c>
      <c r="D78" s="59">
        <v>20</v>
      </c>
      <c r="E78" s="59"/>
      <c r="F78" s="59">
        <v>20</v>
      </c>
      <c r="G78" s="59">
        <v>20</v>
      </c>
      <c r="H78" s="59">
        <v>20</v>
      </c>
      <c r="I78" s="59"/>
    </row>
    <row r="79" spans="1:19" x14ac:dyDescent="0.2">
      <c r="A79" s="58"/>
      <c r="B79" s="12"/>
      <c r="C79" s="59"/>
      <c r="D79" s="59"/>
      <c r="E79" s="59"/>
      <c r="F79" s="59">
        <v>-80</v>
      </c>
      <c r="G79" s="59"/>
      <c r="H79" s="59"/>
      <c r="I79" s="59"/>
    </row>
    <row r="80" spans="1:19" x14ac:dyDescent="0.2">
      <c r="A80" s="58"/>
      <c r="B80" s="12" t="s">
        <v>74</v>
      </c>
      <c r="C80" s="59"/>
      <c r="D80" s="59"/>
      <c r="E80" s="59"/>
      <c r="F80" s="59">
        <v>163.5</v>
      </c>
      <c r="G80" s="59"/>
      <c r="H80" s="59"/>
      <c r="I80" s="59"/>
    </row>
    <row r="81" spans="1:16" x14ac:dyDescent="0.2">
      <c r="A81" s="58">
        <v>43161</v>
      </c>
      <c r="B81" s="12" t="s">
        <v>33</v>
      </c>
      <c r="C81" s="59"/>
      <c r="D81" s="59"/>
      <c r="E81" s="59"/>
      <c r="F81" s="59"/>
      <c r="G81" s="59">
        <v>-630</v>
      </c>
      <c r="H81" s="59"/>
      <c r="I81" s="59"/>
    </row>
    <row r="82" spans="1:16" x14ac:dyDescent="0.2">
      <c r="A82" s="58">
        <v>43173</v>
      </c>
      <c r="B82" s="12" t="s">
        <v>58</v>
      </c>
      <c r="C82" s="59">
        <v>319</v>
      </c>
      <c r="D82" s="59">
        <f>C82/4</f>
        <v>79.75</v>
      </c>
      <c r="E82" s="59">
        <v>79.75</v>
      </c>
      <c r="F82" s="59">
        <v>79.75</v>
      </c>
      <c r="G82" s="59">
        <v>79.75</v>
      </c>
      <c r="H82" s="59"/>
      <c r="I82" s="59"/>
      <c r="L82" s="54">
        <v>79280</v>
      </c>
    </row>
    <row r="83" spans="1:16" x14ac:dyDescent="0.2">
      <c r="A83" s="58"/>
      <c r="B83" s="12"/>
      <c r="C83" s="59"/>
      <c r="D83" s="59"/>
      <c r="E83" s="59">
        <v>-319</v>
      </c>
      <c r="F83" s="59"/>
      <c r="G83" s="59"/>
      <c r="H83" s="59"/>
      <c r="I83" s="59"/>
      <c r="L83" s="54">
        <v>33162</v>
      </c>
    </row>
    <row r="84" spans="1:16" x14ac:dyDescent="0.2">
      <c r="A84" s="58">
        <v>43174</v>
      </c>
      <c r="B84" s="12" t="s">
        <v>75</v>
      </c>
      <c r="C84" s="59">
        <v>427</v>
      </c>
      <c r="D84" s="59">
        <v>73</v>
      </c>
      <c r="E84" s="59">
        <v>140.5</v>
      </c>
      <c r="F84" s="59">
        <v>140.5</v>
      </c>
      <c r="G84" s="59">
        <v>73</v>
      </c>
      <c r="H84" s="59"/>
      <c r="I84" s="59"/>
    </row>
    <row r="85" spans="1:16" x14ac:dyDescent="0.2">
      <c r="A85" s="58"/>
      <c r="B85" s="12"/>
      <c r="C85" s="59"/>
      <c r="D85" s="59"/>
      <c r="E85" s="59">
        <v>-427</v>
      </c>
      <c r="F85" s="59"/>
      <c r="G85" s="59"/>
      <c r="H85" s="59"/>
      <c r="I85" s="59"/>
    </row>
    <row r="86" spans="1:16" x14ac:dyDescent="0.2">
      <c r="A86" s="58">
        <v>43178</v>
      </c>
      <c r="B86" s="12" t="s">
        <v>76</v>
      </c>
      <c r="C86" s="59"/>
      <c r="D86" s="59"/>
      <c r="E86" s="59"/>
      <c r="F86" s="59"/>
      <c r="G86" s="59">
        <v>192</v>
      </c>
      <c r="H86" s="59"/>
      <c r="I86" s="59"/>
    </row>
    <row r="87" spans="1:16" x14ac:dyDescent="0.2">
      <c r="A87" s="58"/>
      <c r="B87" s="12"/>
      <c r="C87" s="59"/>
      <c r="D87" s="59"/>
      <c r="E87" s="59"/>
      <c r="F87" s="59"/>
      <c r="G87" s="59"/>
      <c r="H87" s="59"/>
      <c r="I87" s="59"/>
    </row>
    <row r="88" spans="1:16" x14ac:dyDescent="0.2">
      <c r="A88" s="58"/>
      <c r="B88" s="12" t="s">
        <v>50</v>
      </c>
      <c r="C88" s="59"/>
      <c r="D88" s="59"/>
      <c r="E88" s="59"/>
      <c r="F88" s="59"/>
      <c r="G88" s="59"/>
      <c r="H88" s="59"/>
      <c r="I88" s="59"/>
      <c r="P88" s="54">
        <v>1780</v>
      </c>
    </row>
    <row r="89" spans="1:16" x14ac:dyDescent="0.2">
      <c r="A89" s="58">
        <v>43154</v>
      </c>
      <c r="B89" s="12" t="s">
        <v>77</v>
      </c>
      <c r="C89" s="59"/>
      <c r="D89" s="59"/>
      <c r="E89" s="59"/>
      <c r="F89" s="59"/>
      <c r="G89" s="59"/>
      <c r="H89" s="59">
        <v>2541.67</v>
      </c>
      <c r="I89" s="59"/>
    </row>
    <row r="90" spans="1:16" x14ac:dyDescent="0.2">
      <c r="A90" s="58">
        <v>43180</v>
      </c>
      <c r="B90" s="12" t="s">
        <v>78</v>
      </c>
      <c r="C90" s="59"/>
      <c r="D90" s="59"/>
      <c r="E90" s="59">
        <v>-2.5</v>
      </c>
      <c r="F90" s="59"/>
      <c r="G90" s="59">
        <v>-60</v>
      </c>
      <c r="H90" s="59">
        <v>-3007</v>
      </c>
      <c r="I90" s="59"/>
    </row>
    <row r="91" spans="1:16" x14ac:dyDescent="0.2">
      <c r="A91" s="58"/>
      <c r="B91" s="12" t="s">
        <v>79</v>
      </c>
      <c r="C91" s="59"/>
      <c r="D91" s="59"/>
      <c r="E91" s="59"/>
      <c r="F91" s="59">
        <v>-3000</v>
      </c>
      <c r="G91" s="59"/>
      <c r="H91" s="59">
        <f>P76</f>
        <v>1779.163333333332</v>
      </c>
      <c r="I91" s="59"/>
    </row>
    <row r="92" spans="1:16" x14ac:dyDescent="0.2">
      <c r="A92" s="58"/>
      <c r="B92" s="12"/>
      <c r="C92" s="59"/>
      <c r="D92" s="59"/>
      <c r="E92" s="59"/>
      <c r="F92" s="59">
        <v>-361</v>
      </c>
      <c r="G92" s="59"/>
      <c r="H92" s="59"/>
      <c r="I92" s="59"/>
    </row>
    <row r="93" spans="1:16" x14ac:dyDescent="0.2">
      <c r="A93" s="58">
        <v>43186</v>
      </c>
      <c r="B93" s="12" t="s">
        <v>80</v>
      </c>
      <c r="C93" s="59">
        <v>210</v>
      </c>
      <c r="D93" s="59">
        <v>70</v>
      </c>
      <c r="E93" s="59">
        <v>70</v>
      </c>
      <c r="F93" s="59">
        <v>70</v>
      </c>
      <c r="G93" s="59"/>
      <c r="H93" s="59"/>
      <c r="I93" s="59"/>
    </row>
    <row r="94" spans="1:16" x14ac:dyDescent="0.2">
      <c r="A94" s="58">
        <v>43193</v>
      </c>
      <c r="B94" s="12" t="s">
        <v>10</v>
      </c>
      <c r="C94" s="59">
        <v>437.86</v>
      </c>
      <c r="D94" s="59">
        <v>126.66</v>
      </c>
      <c r="E94" s="59">
        <v>125.65</v>
      </c>
      <c r="F94" s="59">
        <v>125.65</v>
      </c>
      <c r="G94" s="59">
        <v>60.9</v>
      </c>
      <c r="H94" s="59"/>
      <c r="I94" s="59"/>
      <c r="J94" s="61"/>
    </row>
    <row r="95" spans="1:16" x14ac:dyDescent="0.2">
      <c r="A95" s="58">
        <v>43194</v>
      </c>
      <c r="B95" s="12" t="s">
        <v>81</v>
      </c>
      <c r="C95" s="59">
        <v>150</v>
      </c>
      <c r="D95" s="59">
        <f>C95/4</f>
        <v>37.5</v>
      </c>
      <c r="E95" s="59">
        <v>37.5</v>
      </c>
      <c r="F95" s="59">
        <v>37.5</v>
      </c>
      <c r="G95" s="59">
        <v>37.5</v>
      </c>
      <c r="H95" s="59"/>
      <c r="I95" s="59"/>
    </row>
    <row r="96" spans="1:16" x14ac:dyDescent="0.2">
      <c r="A96" s="58"/>
      <c r="B96" s="12"/>
      <c r="C96" s="59"/>
      <c r="D96" s="59"/>
      <c r="E96" s="59"/>
      <c r="F96" s="59">
        <v>-150</v>
      </c>
      <c r="G96" s="59"/>
      <c r="H96" s="59"/>
      <c r="I96" s="59"/>
    </row>
    <row r="97" spans="1:15" x14ac:dyDescent="0.2">
      <c r="A97" s="58">
        <v>43195</v>
      </c>
      <c r="B97" s="12" t="s">
        <v>82</v>
      </c>
      <c r="C97" s="59">
        <v>272</v>
      </c>
      <c r="D97" s="59">
        <f>C97/5</f>
        <v>54.4</v>
      </c>
      <c r="E97" s="59">
        <v>54.4</v>
      </c>
      <c r="F97" s="59">
        <v>54.4</v>
      </c>
      <c r="G97" s="59">
        <v>54.4</v>
      </c>
      <c r="H97" s="59">
        <v>54.4</v>
      </c>
      <c r="I97" s="59"/>
    </row>
    <row r="98" spans="1:15" x14ac:dyDescent="0.2">
      <c r="A98" s="58"/>
      <c r="B98" s="12"/>
      <c r="C98" s="59"/>
      <c r="D98" s="59"/>
      <c r="E98" s="59"/>
      <c r="F98" s="59">
        <v>-272</v>
      </c>
      <c r="G98" s="59"/>
      <c r="H98" s="59"/>
      <c r="I98" s="59"/>
    </row>
    <row r="99" spans="1:15" x14ac:dyDescent="0.2">
      <c r="A99" s="58"/>
      <c r="B99" s="12"/>
      <c r="C99" s="59"/>
      <c r="D99" s="59"/>
      <c r="E99" s="59"/>
      <c r="F99" s="59">
        <v>-210</v>
      </c>
      <c r="G99" s="59"/>
      <c r="H99" s="59">
        <v>-1880</v>
      </c>
      <c r="I99" s="59"/>
    </row>
    <row r="100" spans="1:15" x14ac:dyDescent="0.2">
      <c r="A100" s="58"/>
      <c r="B100" s="12" t="s">
        <v>83</v>
      </c>
      <c r="C100" s="59"/>
      <c r="D100" s="59"/>
      <c r="E100" s="59"/>
      <c r="F100" s="59"/>
      <c r="G100" s="59">
        <v>250</v>
      </c>
      <c r="H100" s="59"/>
      <c r="I100" s="59"/>
    </row>
    <row r="101" spans="1:15" x14ac:dyDescent="0.2">
      <c r="A101" s="58"/>
      <c r="B101" s="12" t="s">
        <v>84</v>
      </c>
      <c r="C101" s="59">
        <v>249</v>
      </c>
      <c r="D101" s="59">
        <f>C101/3</f>
        <v>83</v>
      </c>
      <c r="E101" s="59"/>
      <c r="F101" s="59">
        <v>83</v>
      </c>
      <c r="G101" s="59"/>
      <c r="H101" s="59">
        <v>83</v>
      </c>
      <c r="I101" s="59"/>
    </row>
    <row r="102" spans="1:15" x14ac:dyDescent="0.2">
      <c r="A102" s="58"/>
      <c r="B102" s="12" t="s">
        <v>50</v>
      </c>
      <c r="C102" s="59"/>
      <c r="D102" s="59"/>
      <c r="E102" s="59"/>
      <c r="F102" s="59"/>
      <c r="G102" s="59">
        <v>3000</v>
      </c>
      <c r="H102" s="59">
        <v>1000</v>
      </c>
      <c r="I102" s="59"/>
    </row>
    <row r="103" spans="1:15" x14ac:dyDescent="0.2">
      <c r="A103" s="58"/>
      <c r="B103" s="12" t="s">
        <v>85</v>
      </c>
      <c r="C103" s="59"/>
      <c r="D103" s="59"/>
      <c r="E103" s="59">
        <v>300</v>
      </c>
      <c r="F103" s="59"/>
      <c r="G103" s="59"/>
      <c r="H103" s="59"/>
      <c r="I103" s="59"/>
    </row>
    <row r="104" spans="1:15" x14ac:dyDescent="0.2">
      <c r="A104" s="58"/>
      <c r="B104" s="12" t="s">
        <v>86</v>
      </c>
      <c r="C104" s="59">
        <v>220</v>
      </c>
      <c r="D104" s="59">
        <f>C104/3</f>
        <v>73.333333333333329</v>
      </c>
      <c r="E104" s="59">
        <v>73.33</v>
      </c>
      <c r="F104" s="59">
        <v>73.33</v>
      </c>
      <c r="G104" s="59"/>
      <c r="H104" s="59"/>
      <c r="I104" s="59"/>
    </row>
    <row r="105" spans="1:15" x14ac:dyDescent="0.2">
      <c r="A105" s="58"/>
      <c r="B105" s="12" t="s">
        <v>87</v>
      </c>
      <c r="C105" s="59">
        <v>195</v>
      </c>
      <c r="D105" s="59">
        <f>C105/5</f>
        <v>39</v>
      </c>
      <c r="E105" s="59">
        <v>39</v>
      </c>
      <c r="F105" s="59">
        <v>39</v>
      </c>
      <c r="G105" s="59"/>
      <c r="H105" s="59">
        <v>39</v>
      </c>
      <c r="I105" s="59"/>
    </row>
    <row r="106" spans="1:15" x14ac:dyDescent="0.2">
      <c r="A106" s="58"/>
      <c r="B106" s="12"/>
      <c r="C106" s="59"/>
      <c r="D106" s="59"/>
      <c r="E106" s="59">
        <v>39</v>
      </c>
      <c r="F106" s="59"/>
      <c r="G106" s="59"/>
      <c r="H106" s="59"/>
      <c r="I106" s="59"/>
    </row>
    <row r="107" spans="1:15" x14ac:dyDescent="0.2">
      <c r="A107" s="58"/>
      <c r="B107" s="12" t="s">
        <v>88</v>
      </c>
      <c r="C107" s="59">
        <v>7999</v>
      </c>
      <c r="D107" s="59"/>
      <c r="E107" s="59">
        <v>-195</v>
      </c>
      <c r="F107" s="59"/>
      <c r="G107" s="59">
        <v>7999</v>
      </c>
      <c r="H107" s="59"/>
      <c r="I107" s="59"/>
      <c r="O107" s="54">
        <f>255/4</f>
        <v>63.75</v>
      </c>
    </row>
    <row r="108" spans="1:15" x14ac:dyDescent="0.2">
      <c r="A108" s="58"/>
      <c r="B108" s="12" t="s">
        <v>89</v>
      </c>
      <c r="C108" s="59"/>
      <c r="D108" s="59"/>
      <c r="E108" s="59">
        <v>-500</v>
      </c>
      <c r="F108" s="59"/>
      <c r="G108" s="59"/>
      <c r="H108" s="59"/>
      <c r="I108" s="59"/>
      <c r="L108" s="54">
        <v>9837.77</v>
      </c>
    </row>
    <row r="109" spans="1:15" x14ac:dyDescent="0.2">
      <c r="A109" s="58"/>
      <c r="B109" s="12" t="s">
        <v>90</v>
      </c>
      <c r="C109" s="59">
        <v>180</v>
      </c>
      <c r="D109" s="59">
        <f>C109/5</f>
        <v>36</v>
      </c>
      <c r="E109" s="59">
        <v>36</v>
      </c>
      <c r="F109" s="59">
        <v>36</v>
      </c>
      <c r="G109" s="59">
        <v>36</v>
      </c>
      <c r="H109" s="59">
        <v>36</v>
      </c>
      <c r="I109" s="59"/>
      <c r="L109" s="54">
        <v>-7999</v>
      </c>
    </row>
    <row r="110" spans="1:15" x14ac:dyDescent="0.2">
      <c r="A110" s="58"/>
      <c r="B110" s="12" t="s">
        <v>91</v>
      </c>
      <c r="C110" s="59"/>
      <c r="D110" s="59"/>
      <c r="E110" s="59"/>
      <c r="F110" s="59">
        <v>248.5</v>
      </c>
      <c r="G110" s="59"/>
      <c r="H110" s="59"/>
      <c r="I110" s="59"/>
    </row>
    <row r="111" spans="1:15" x14ac:dyDescent="0.2">
      <c r="A111" s="58"/>
      <c r="B111" s="12" t="s">
        <v>44</v>
      </c>
      <c r="C111" s="59">
        <v>273</v>
      </c>
      <c r="D111" s="59">
        <f>C111/4</f>
        <v>68.25</v>
      </c>
      <c r="E111" s="59">
        <v>68.25</v>
      </c>
      <c r="F111" s="59">
        <v>68.25</v>
      </c>
      <c r="G111" s="59"/>
      <c r="H111" s="59">
        <v>68.25</v>
      </c>
      <c r="I111" s="59"/>
    </row>
    <row r="112" spans="1:15" x14ac:dyDescent="0.2">
      <c r="A112" s="58">
        <v>43221</v>
      </c>
      <c r="B112" s="587" t="s">
        <v>92</v>
      </c>
      <c r="C112" s="59">
        <v>200</v>
      </c>
      <c r="D112" s="59">
        <v>50</v>
      </c>
      <c r="E112" s="59">
        <v>50</v>
      </c>
      <c r="F112" s="59">
        <v>-273</v>
      </c>
      <c r="G112" s="59">
        <v>50</v>
      </c>
      <c r="H112" s="59"/>
      <c r="I112" s="59"/>
    </row>
    <row r="113" spans="1:19" x14ac:dyDescent="0.2">
      <c r="A113" s="58"/>
      <c r="B113" s="588"/>
      <c r="C113" s="59"/>
      <c r="D113" s="59"/>
      <c r="E113" s="59">
        <v>-200</v>
      </c>
      <c r="F113" s="59">
        <v>50</v>
      </c>
      <c r="G113" s="59"/>
      <c r="H113" s="59"/>
      <c r="I113" s="59"/>
    </row>
    <row r="114" spans="1:19" x14ac:dyDescent="0.2">
      <c r="A114" s="58"/>
      <c r="B114" s="12" t="s">
        <v>93</v>
      </c>
      <c r="C114" s="59"/>
      <c r="D114" s="59"/>
      <c r="E114" s="59"/>
      <c r="F114" s="59"/>
      <c r="G114" s="59">
        <v>100</v>
      </c>
      <c r="H114" s="59"/>
      <c r="I114" s="59"/>
    </row>
    <row r="115" spans="1:19" x14ac:dyDescent="0.2">
      <c r="A115" s="58"/>
      <c r="B115" s="60" t="s">
        <v>50</v>
      </c>
      <c r="C115" s="59"/>
      <c r="D115" s="59"/>
      <c r="E115" s="59"/>
      <c r="F115" s="59"/>
      <c r="G115" s="59">
        <v>-2000</v>
      </c>
      <c r="H115" s="59"/>
      <c r="I115" s="59"/>
    </row>
    <row r="116" spans="1:19" x14ac:dyDescent="0.2">
      <c r="A116" s="58">
        <v>43222</v>
      </c>
      <c r="B116" s="12" t="s">
        <v>94</v>
      </c>
      <c r="C116" s="59"/>
      <c r="D116" s="59"/>
      <c r="E116" s="59"/>
      <c r="F116" s="59">
        <v>178.5</v>
      </c>
      <c r="G116" s="59"/>
      <c r="H116" s="59"/>
      <c r="I116" s="59"/>
    </row>
    <row r="117" spans="1:19" x14ac:dyDescent="0.2">
      <c r="A117" s="58"/>
      <c r="B117" s="60" t="s">
        <v>78</v>
      </c>
      <c r="C117" s="59"/>
      <c r="D117" s="59"/>
      <c r="E117" s="59"/>
      <c r="F117" s="59">
        <v>-89.25</v>
      </c>
      <c r="G117" s="59">
        <v>52.7</v>
      </c>
      <c r="H117" s="59"/>
      <c r="I117" s="59"/>
    </row>
    <row r="118" spans="1:19" x14ac:dyDescent="0.2">
      <c r="A118" s="58">
        <v>43223</v>
      </c>
      <c r="B118" s="60" t="s">
        <v>95</v>
      </c>
      <c r="C118" s="59"/>
      <c r="D118" s="59"/>
      <c r="E118" s="59"/>
      <c r="F118" s="59"/>
      <c r="G118" s="59">
        <v>70</v>
      </c>
      <c r="H118" s="59"/>
      <c r="I118" s="59"/>
    </row>
    <row r="119" spans="1:19" x14ac:dyDescent="0.2">
      <c r="A119" s="58">
        <v>43228</v>
      </c>
      <c r="B119" s="12" t="s">
        <v>10</v>
      </c>
      <c r="C119" s="59">
        <v>146.94999999999999</v>
      </c>
      <c r="D119" s="59">
        <f>C119/3</f>
        <v>48.983333333333327</v>
      </c>
      <c r="E119" s="59">
        <v>48.98</v>
      </c>
      <c r="F119" s="59">
        <v>48.98</v>
      </c>
      <c r="G119" s="59"/>
      <c r="H119" s="59"/>
      <c r="I119" s="59"/>
    </row>
    <row r="120" spans="1:19" x14ac:dyDescent="0.2">
      <c r="A120" s="58"/>
      <c r="B120" s="12" t="s">
        <v>96</v>
      </c>
      <c r="C120" s="59">
        <v>60</v>
      </c>
      <c r="D120" s="59">
        <v>15</v>
      </c>
      <c r="E120" s="59">
        <v>15</v>
      </c>
      <c r="F120" s="59"/>
      <c r="G120" s="59">
        <v>15</v>
      </c>
      <c r="H120" s="59">
        <v>15</v>
      </c>
      <c r="I120" s="59"/>
    </row>
    <row r="121" spans="1:19" x14ac:dyDescent="0.2">
      <c r="A121" s="58"/>
      <c r="B121" s="12" t="s">
        <v>97</v>
      </c>
      <c r="C121" s="59"/>
      <c r="D121" s="59"/>
      <c r="E121" s="59"/>
      <c r="F121" s="59">
        <v>532.29999999999995</v>
      </c>
      <c r="G121" s="59"/>
      <c r="H121" s="59"/>
      <c r="I121" s="59"/>
    </row>
    <row r="122" spans="1:19" x14ac:dyDescent="0.2">
      <c r="A122" s="58">
        <v>43235</v>
      </c>
      <c r="B122" s="12" t="s">
        <v>81</v>
      </c>
      <c r="C122" s="59">
        <v>120</v>
      </c>
      <c r="D122" s="59">
        <v>40</v>
      </c>
      <c r="E122" s="59">
        <v>40</v>
      </c>
      <c r="F122" s="59">
        <v>40</v>
      </c>
      <c r="G122" s="59">
        <v>40</v>
      </c>
      <c r="H122" s="59"/>
      <c r="I122" s="59"/>
    </row>
    <row r="123" spans="1:19" x14ac:dyDescent="0.2">
      <c r="A123" s="58"/>
      <c r="B123" s="12"/>
      <c r="C123" s="59"/>
      <c r="D123" s="59"/>
      <c r="E123" s="59">
        <v>-120</v>
      </c>
      <c r="F123" s="59"/>
      <c r="G123" s="59"/>
      <c r="H123" s="59"/>
      <c r="I123" s="59"/>
    </row>
    <row r="124" spans="1:19" x14ac:dyDescent="0.2">
      <c r="A124" s="58"/>
      <c r="B124" s="12"/>
      <c r="C124" s="59"/>
      <c r="D124" s="59"/>
      <c r="E124" s="59">
        <v>-1000</v>
      </c>
      <c r="F124" s="59"/>
      <c r="G124" s="59"/>
      <c r="H124" s="59"/>
      <c r="I124" s="59"/>
    </row>
    <row r="125" spans="1:19" x14ac:dyDescent="0.2">
      <c r="A125" s="58">
        <v>43238</v>
      </c>
      <c r="B125" s="12" t="s">
        <v>98</v>
      </c>
      <c r="C125" s="59">
        <v>882</v>
      </c>
      <c r="D125" s="59">
        <f>C125/5</f>
        <v>176.4</v>
      </c>
      <c r="E125" s="59">
        <v>176.4</v>
      </c>
      <c r="F125" s="59">
        <v>176.4</v>
      </c>
      <c r="G125" s="59">
        <v>176.4</v>
      </c>
      <c r="H125" s="59">
        <v>176.4</v>
      </c>
      <c r="I125" s="59"/>
    </row>
    <row r="126" spans="1:19" x14ac:dyDescent="0.2">
      <c r="A126" s="58">
        <v>43238</v>
      </c>
      <c r="B126" s="12" t="s">
        <v>50</v>
      </c>
      <c r="C126" s="59"/>
      <c r="D126" s="59"/>
      <c r="E126" s="59"/>
      <c r="F126" s="59"/>
      <c r="G126" s="59">
        <v>22000</v>
      </c>
      <c r="H126" s="59"/>
      <c r="I126" s="59"/>
      <c r="O126" s="59"/>
      <c r="P126" s="59"/>
      <c r="Q126" s="59"/>
      <c r="R126" s="59"/>
      <c r="S126" s="59"/>
    </row>
    <row r="127" spans="1:19" x14ac:dyDescent="0.2">
      <c r="A127" s="58"/>
      <c r="B127" s="12"/>
      <c r="C127" s="59"/>
      <c r="D127" s="59"/>
      <c r="E127" s="59"/>
      <c r="F127" s="59"/>
      <c r="G127" s="59">
        <v>-23000</v>
      </c>
      <c r="H127" s="59"/>
      <c r="I127" s="59"/>
      <c r="O127" s="59" t="s">
        <v>99</v>
      </c>
      <c r="P127" s="59">
        <v>5106.5200000000004</v>
      </c>
      <c r="Q127" s="59"/>
      <c r="R127" s="59"/>
      <c r="S127" s="59"/>
    </row>
    <row r="128" spans="1:19" x14ac:dyDescent="0.2">
      <c r="A128" s="58">
        <v>43243</v>
      </c>
      <c r="B128" s="12" t="s">
        <v>100</v>
      </c>
      <c r="C128" s="59">
        <v>255</v>
      </c>
      <c r="D128" s="59">
        <f>C128/4</f>
        <v>63.75</v>
      </c>
      <c r="E128" s="59">
        <v>63.75</v>
      </c>
      <c r="F128" s="59">
        <v>63.75</v>
      </c>
      <c r="G128" s="59">
        <v>63.75</v>
      </c>
      <c r="H128" s="59"/>
      <c r="I128" s="59"/>
      <c r="O128" s="133" t="s">
        <v>101</v>
      </c>
      <c r="P128" s="133">
        <v>230000</v>
      </c>
      <c r="Q128" s="59"/>
      <c r="R128" s="59"/>
      <c r="S128" s="59"/>
    </row>
    <row r="129" spans="1:19" x14ac:dyDescent="0.2">
      <c r="A129" s="58">
        <v>43245</v>
      </c>
      <c r="B129" s="12" t="s">
        <v>10</v>
      </c>
      <c r="C129" s="59">
        <v>62</v>
      </c>
      <c r="D129" s="59"/>
      <c r="E129" s="59"/>
      <c r="F129" s="59">
        <v>31</v>
      </c>
      <c r="G129" s="59">
        <v>31</v>
      </c>
      <c r="H129" s="59"/>
      <c r="I129" s="59"/>
      <c r="O129" s="133" t="s">
        <v>101</v>
      </c>
      <c r="P129" s="133">
        <v>50000</v>
      </c>
      <c r="Q129" s="59"/>
      <c r="R129" s="59"/>
      <c r="S129" s="59"/>
    </row>
    <row r="130" spans="1:19" x14ac:dyDescent="0.2">
      <c r="A130" s="58">
        <v>43251</v>
      </c>
      <c r="B130" s="12" t="s">
        <v>50</v>
      </c>
      <c r="C130" s="59"/>
      <c r="D130" s="59"/>
      <c r="E130" s="59"/>
      <c r="F130" s="59">
        <v>2000</v>
      </c>
      <c r="G130" s="59">
        <v>36850</v>
      </c>
      <c r="H130" s="59"/>
      <c r="I130" s="59"/>
      <c r="O130" s="133" t="s">
        <v>101</v>
      </c>
      <c r="P130" s="133">
        <v>40000</v>
      </c>
      <c r="Q130" s="59"/>
      <c r="R130" s="59"/>
      <c r="S130" s="59"/>
    </row>
    <row r="131" spans="1:19" x14ac:dyDescent="0.2">
      <c r="A131" s="58"/>
      <c r="B131" s="12" t="s">
        <v>44</v>
      </c>
      <c r="C131" s="59">
        <v>298</v>
      </c>
      <c r="D131" s="59">
        <v>149</v>
      </c>
      <c r="E131" s="59"/>
      <c r="F131" s="59"/>
      <c r="G131" s="59"/>
      <c r="H131" s="59">
        <v>149</v>
      </c>
      <c r="I131" s="59"/>
      <c r="O131" s="133" t="s">
        <v>101</v>
      </c>
      <c r="P131" s="133">
        <v>12000</v>
      </c>
      <c r="Q131" s="59"/>
      <c r="R131" s="59"/>
      <c r="S131" s="59"/>
    </row>
    <row r="132" spans="1:19" x14ac:dyDescent="0.2">
      <c r="A132" s="58"/>
      <c r="B132" s="12" t="s">
        <v>102</v>
      </c>
      <c r="C132" s="59">
        <v>345</v>
      </c>
      <c r="D132" s="59">
        <f>C132/4</f>
        <v>86.25</v>
      </c>
      <c r="E132" s="59">
        <v>86.25</v>
      </c>
      <c r="F132" s="59">
        <v>86.25</v>
      </c>
      <c r="G132" s="59"/>
      <c r="H132" s="59">
        <v>86.25</v>
      </c>
      <c r="I132" s="59"/>
      <c r="O132" s="133" t="s">
        <v>103</v>
      </c>
      <c r="P132" s="133">
        <v>-315000</v>
      </c>
      <c r="Q132" s="59"/>
      <c r="R132" s="59"/>
      <c r="S132" s="59"/>
    </row>
    <row r="133" spans="1:19" x14ac:dyDescent="0.2">
      <c r="A133" s="58"/>
      <c r="B133" s="60"/>
      <c r="C133" s="59"/>
      <c r="D133" s="59"/>
      <c r="E133" s="59"/>
      <c r="F133" s="59">
        <v>-3050</v>
      </c>
      <c r="G133" s="59"/>
      <c r="H133" s="59"/>
      <c r="I133" s="59"/>
      <c r="O133" s="59" t="s">
        <v>104</v>
      </c>
      <c r="P133" s="59">
        <f>SUM(P127:P132)</f>
        <v>22106.520000000019</v>
      </c>
      <c r="Q133" s="59"/>
      <c r="R133" s="59"/>
      <c r="S133" s="59"/>
    </row>
    <row r="134" spans="1:19" x14ac:dyDescent="0.2">
      <c r="A134" s="58"/>
      <c r="B134" s="12" t="s">
        <v>105</v>
      </c>
      <c r="C134" s="59">
        <v>105</v>
      </c>
      <c r="D134" s="59">
        <v>35</v>
      </c>
      <c r="E134" s="59"/>
      <c r="F134" s="59">
        <v>35</v>
      </c>
      <c r="G134" s="59">
        <v>35</v>
      </c>
      <c r="H134" s="59"/>
      <c r="I134" s="59"/>
      <c r="J134" s="73" t="s">
        <v>5</v>
      </c>
      <c r="K134" s="12">
        <v>-191.35</v>
      </c>
      <c r="O134" s="59" t="s">
        <v>106</v>
      </c>
      <c r="P134" s="59">
        <f>P133-P127</f>
        <v>17000.000000000018</v>
      </c>
      <c r="Q134" s="59"/>
      <c r="R134" s="59"/>
      <c r="S134" s="59"/>
    </row>
    <row r="135" spans="1:19" x14ac:dyDescent="0.2">
      <c r="A135" s="58"/>
      <c r="B135" s="12" t="s">
        <v>107</v>
      </c>
      <c r="C135" s="59">
        <v>20</v>
      </c>
      <c r="D135" s="59">
        <v>10</v>
      </c>
      <c r="E135" s="59"/>
      <c r="F135" s="59">
        <v>10</v>
      </c>
      <c r="G135" s="59"/>
      <c r="H135" s="59"/>
      <c r="I135" s="59"/>
      <c r="J135" s="73" t="s">
        <v>7</v>
      </c>
      <c r="K135" s="12">
        <v>18344.88</v>
      </c>
      <c r="O135" s="59"/>
      <c r="P135" s="59"/>
      <c r="Q135" s="59"/>
      <c r="R135" s="59"/>
      <c r="S135" s="59"/>
    </row>
    <row r="136" spans="1:19" x14ac:dyDescent="0.2">
      <c r="A136" s="58">
        <v>43258</v>
      </c>
      <c r="B136" s="12" t="s">
        <v>108</v>
      </c>
      <c r="C136" s="59">
        <v>567</v>
      </c>
      <c r="D136" s="59">
        <f>C136/4</f>
        <v>141.75</v>
      </c>
      <c r="E136" s="59">
        <v>141.75</v>
      </c>
      <c r="F136" s="59">
        <v>141.75</v>
      </c>
      <c r="G136" s="59">
        <v>141.75</v>
      </c>
      <c r="H136" s="59"/>
      <c r="I136" s="59"/>
      <c r="J136" s="73" t="s">
        <v>8</v>
      </c>
      <c r="K136" s="12">
        <v>1738.7</v>
      </c>
      <c r="O136" s="59"/>
      <c r="P136" s="59"/>
      <c r="Q136" s="59"/>
      <c r="R136" s="59"/>
      <c r="S136" s="59"/>
    </row>
    <row r="137" spans="1:19" x14ac:dyDescent="0.2">
      <c r="A137" s="58">
        <v>43258</v>
      </c>
      <c r="B137" s="12" t="s">
        <v>109</v>
      </c>
      <c r="C137" s="59">
        <v>365.84</v>
      </c>
      <c r="D137" s="59">
        <f>C137/4</f>
        <v>91.46</v>
      </c>
      <c r="E137" s="59">
        <v>91.46</v>
      </c>
      <c r="F137" s="59">
        <v>-567</v>
      </c>
      <c r="G137" s="59">
        <v>91.46</v>
      </c>
      <c r="H137" s="59"/>
      <c r="I137" s="59"/>
      <c r="J137" s="73" t="s">
        <v>6</v>
      </c>
      <c r="K137" s="12">
        <v>-86.1</v>
      </c>
      <c r="O137" s="59"/>
      <c r="P137" s="59"/>
      <c r="Q137" s="59"/>
      <c r="R137" s="59"/>
      <c r="S137" s="59"/>
    </row>
    <row r="138" spans="1:19" x14ac:dyDescent="0.2">
      <c r="A138" s="58">
        <v>43262</v>
      </c>
      <c r="B138" s="12" t="s">
        <v>50</v>
      </c>
      <c r="C138" s="59"/>
      <c r="D138" s="59"/>
      <c r="E138" s="59"/>
      <c r="F138" s="59">
        <v>91.46</v>
      </c>
      <c r="G138" s="59">
        <v>7500</v>
      </c>
      <c r="H138" s="59"/>
      <c r="I138" s="59"/>
      <c r="O138" s="59"/>
      <c r="P138" s="59"/>
      <c r="Q138" s="59"/>
      <c r="R138" s="59"/>
      <c r="S138" s="59"/>
    </row>
    <row r="139" spans="1:19" x14ac:dyDescent="0.2">
      <c r="A139" s="58">
        <v>43262</v>
      </c>
      <c r="B139" s="12" t="s">
        <v>42</v>
      </c>
      <c r="C139" s="59"/>
      <c r="D139" s="59"/>
      <c r="E139" s="59"/>
      <c r="F139" s="59"/>
      <c r="G139" s="59">
        <v>-30000</v>
      </c>
      <c r="H139" s="59"/>
      <c r="I139" s="59"/>
      <c r="O139" s="59"/>
      <c r="P139" s="59"/>
      <c r="Q139" s="59"/>
      <c r="R139" s="59"/>
      <c r="S139" s="59"/>
    </row>
    <row r="140" spans="1:19" x14ac:dyDescent="0.2">
      <c r="A140" s="58"/>
      <c r="B140" s="12"/>
      <c r="C140" s="59"/>
      <c r="D140" s="59"/>
      <c r="E140" s="59"/>
      <c r="F140" s="59"/>
      <c r="G140" s="59">
        <v>-10000</v>
      </c>
      <c r="H140" s="59"/>
      <c r="I140" s="59"/>
      <c r="O140" s="59"/>
      <c r="P140" s="59"/>
      <c r="Q140" s="59"/>
      <c r="R140" s="59"/>
      <c r="S140" s="59"/>
    </row>
    <row r="141" spans="1:19" x14ac:dyDescent="0.2">
      <c r="A141" s="58">
        <v>43264</v>
      </c>
      <c r="B141" s="12" t="s">
        <v>110</v>
      </c>
      <c r="C141" s="59"/>
      <c r="D141" s="59"/>
      <c r="E141" s="59"/>
      <c r="F141" s="59"/>
      <c r="G141" s="59">
        <v>200</v>
      </c>
      <c r="H141" s="59"/>
      <c r="I141" s="59"/>
      <c r="O141" s="59"/>
      <c r="P141" s="59"/>
      <c r="Q141" s="59"/>
      <c r="R141" s="59"/>
      <c r="S141" s="59"/>
    </row>
    <row r="142" spans="1:19" x14ac:dyDescent="0.2">
      <c r="A142" s="58">
        <v>43265</v>
      </c>
      <c r="B142" s="12" t="s">
        <v>52</v>
      </c>
      <c r="C142" s="59">
        <v>273</v>
      </c>
      <c r="D142" s="59">
        <f>C142/3</f>
        <v>91</v>
      </c>
      <c r="E142" s="59"/>
      <c r="F142" s="59">
        <v>91</v>
      </c>
      <c r="G142" s="59"/>
      <c r="H142" s="59">
        <v>91</v>
      </c>
      <c r="I142" s="59"/>
      <c r="O142" s="59"/>
      <c r="P142" s="59"/>
      <c r="Q142" s="59"/>
      <c r="R142" s="59"/>
      <c r="S142" s="59"/>
    </row>
    <row r="143" spans="1:19" x14ac:dyDescent="0.2">
      <c r="A143" s="58"/>
      <c r="B143" s="12"/>
      <c r="C143" s="59"/>
      <c r="D143" s="59"/>
      <c r="E143" s="59"/>
      <c r="F143" s="59"/>
      <c r="G143" s="59">
        <v>4000</v>
      </c>
      <c r="H143" s="59">
        <v>-273</v>
      </c>
      <c r="I143" s="59"/>
      <c r="O143" s="59"/>
      <c r="P143" s="59"/>
      <c r="Q143" s="59"/>
      <c r="R143" s="59"/>
      <c r="S143" s="59"/>
    </row>
    <row r="144" spans="1:19" x14ac:dyDescent="0.2">
      <c r="A144" s="58"/>
      <c r="B144" s="12" t="s">
        <v>111</v>
      </c>
      <c r="C144" s="59"/>
      <c r="D144" s="59"/>
      <c r="E144" s="59"/>
      <c r="F144" s="59">
        <v>120</v>
      </c>
      <c r="G144" s="59"/>
      <c r="H144" s="59"/>
      <c r="I144" s="59"/>
      <c r="O144" s="59"/>
      <c r="P144" s="59"/>
      <c r="Q144" s="59"/>
      <c r="R144" s="59"/>
      <c r="S144" s="59"/>
    </row>
    <row r="145" spans="1:19" x14ac:dyDescent="0.2">
      <c r="A145" s="12"/>
      <c r="B145" s="12"/>
      <c r="C145" s="59"/>
      <c r="D145" s="59"/>
      <c r="E145" s="59"/>
      <c r="F145" s="59">
        <v>100</v>
      </c>
      <c r="G145" s="59"/>
      <c r="H145" s="59"/>
      <c r="I145" s="59"/>
      <c r="O145" s="59"/>
      <c r="P145" s="59"/>
      <c r="Q145" s="59"/>
      <c r="R145" s="59"/>
      <c r="S145" s="59"/>
    </row>
    <row r="146" spans="1:19" x14ac:dyDescent="0.2">
      <c r="A146" s="12"/>
      <c r="B146" s="12"/>
      <c r="C146" s="59"/>
      <c r="D146" s="59"/>
      <c r="E146" s="59"/>
      <c r="F146" s="59"/>
      <c r="G146" s="59"/>
      <c r="H146" s="59"/>
      <c r="I146" s="59"/>
      <c r="O146" s="59"/>
      <c r="P146" s="59"/>
      <c r="Q146" s="59"/>
      <c r="R146" s="59"/>
      <c r="S146" s="59"/>
    </row>
    <row r="147" spans="1:19" x14ac:dyDescent="0.2">
      <c r="A147" s="58">
        <v>43276</v>
      </c>
      <c r="B147" s="12"/>
      <c r="C147" s="59"/>
      <c r="D147" s="59"/>
      <c r="E147" s="59"/>
      <c r="F147" s="59"/>
      <c r="G147" s="59"/>
      <c r="H147" s="59"/>
      <c r="I147" s="59"/>
      <c r="O147" s="59"/>
      <c r="P147" s="59"/>
      <c r="Q147" s="59"/>
      <c r="R147" s="59"/>
      <c r="S147" s="59"/>
    </row>
    <row r="148" spans="1:19" x14ac:dyDescent="0.2">
      <c r="A148" s="58">
        <v>43284</v>
      </c>
      <c r="B148" s="12" t="s">
        <v>112</v>
      </c>
      <c r="C148" s="59">
        <v>500</v>
      </c>
      <c r="D148" s="59">
        <v>200</v>
      </c>
      <c r="E148" s="59">
        <v>100</v>
      </c>
      <c r="F148" s="59">
        <v>100</v>
      </c>
      <c r="G148" s="59"/>
      <c r="H148" s="59">
        <v>100</v>
      </c>
      <c r="I148" s="59"/>
      <c r="O148" s="59"/>
      <c r="P148" s="59"/>
      <c r="Q148" s="59"/>
      <c r="R148" s="59"/>
      <c r="S148" s="59"/>
    </row>
    <row r="149" spans="1:19" x14ac:dyDescent="0.2">
      <c r="A149" s="58">
        <v>43284</v>
      </c>
      <c r="B149" s="12" t="s">
        <v>113</v>
      </c>
      <c r="C149" s="59">
        <v>370</v>
      </c>
      <c r="D149" s="59">
        <f>C149/3</f>
        <v>123.33333333333333</v>
      </c>
      <c r="E149" s="59">
        <v>123.33</v>
      </c>
      <c r="F149" s="59"/>
      <c r="G149" s="59"/>
      <c r="H149" s="59">
        <v>123.33</v>
      </c>
      <c r="I149" s="59"/>
      <c r="O149" s="59"/>
      <c r="P149" s="59"/>
      <c r="Q149" s="59"/>
      <c r="R149" s="59"/>
      <c r="S149" s="59"/>
    </row>
    <row r="150" spans="1:19" x14ac:dyDescent="0.2">
      <c r="A150" s="58">
        <v>43284</v>
      </c>
      <c r="B150" s="12" t="s">
        <v>114</v>
      </c>
      <c r="C150" s="59">
        <v>218</v>
      </c>
      <c r="D150" s="59">
        <v>87.2</v>
      </c>
      <c r="E150" s="59">
        <v>43.6</v>
      </c>
      <c r="F150" s="59">
        <v>43.6</v>
      </c>
      <c r="G150" s="59"/>
      <c r="H150" s="59">
        <v>43.6</v>
      </c>
      <c r="I150" s="59"/>
      <c r="O150" s="59"/>
      <c r="P150" s="59"/>
      <c r="Q150" s="59"/>
      <c r="R150" s="59"/>
      <c r="S150" s="59"/>
    </row>
    <row r="151" spans="1:19" x14ac:dyDescent="0.2">
      <c r="A151" s="58"/>
      <c r="B151" s="12"/>
      <c r="C151" s="59"/>
      <c r="D151" s="59"/>
      <c r="E151" s="59"/>
      <c r="F151" s="59">
        <v>-18</v>
      </c>
      <c r="G151" s="59"/>
      <c r="H151" s="59">
        <v>-200</v>
      </c>
      <c r="I151" s="59"/>
      <c r="O151" s="59"/>
      <c r="P151" s="59"/>
      <c r="Q151" s="59"/>
      <c r="R151" s="59"/>
      <c r="S151" s="59"/>
    </row>
    <row r="152" spans="1:19" x14ac:dyDescent="0.2">
      <c r="A152" s="58">
        <v>43287</v>
      </c>
      <c r="B152" s="12" t="s">
        <v>115</v>
      </c>
      <c r="C152" s="59">
        <v>198</v>
      </c>
      <c r="D152" s="59">
        <v>99</v>
      </c>
      <c r="E152" s="59"/>
      <c r="F152" s="59">
        <v>99</v>
      </c>
      <c r="G152" s="59"/>
      <c r="H152" s="59"/>
      <c r="I152" s="59"/>
      <c r="O152" s="59"/>
      <c r="P152" s="59"/>
      <c r="Q152" s="59"/>
      <c r="R152" s="59"/>
      <c r="S152" s="59"/>
    </row>
    <row r="153" spans="1:19" x14ac:dyDescent="0.2">
      <c r="A153" s="58"/>
      <c r="B153" s="12" t="s">
        <v>116</v>
      </c>
      <c r="C153" s="59"/>
      <c r="D153" s="59"/>
      <c r="E153" s="59"/>
      <c r="F153" s="59">
        <v>66</v>
      </c>
      <c r="G153" s="59"/>
      <c r="H153" s="59"/>
      <c r="I153" s="59"/>
      <c r="O153" s="59"/>
      <c r="P153" s="59"/>
      <c r="Q153" s="59"/>
      <c r="R153" s="59"/>
      <c r="S153" s="59"/>
    </row>
    <row r="154" spans="1:19" x14ac:dyDescent="0.2">
      <c r="A154" s="58"/>
      <c r="B154" s="12" t="s">
        <v>50</v>
      </c>
      <c r="C154" s="59"/>
      <c r="D154" s="59"/>
      <c r="E154" s="59"/>
      <c r="F154" s="59">
        <v>1000</v>
      </c>
      <c r="G154" s="59"/>
      <c r="H154" s="59">
        <v>-1000</v>
      </c>
      <c r="I154" s="59"/>
      <c r="O154" s="59"/>
      <c r="P154" s="59"/>
      <c r="Q154" s="59"/>
      <c r="R154" s="59"/>
      <c r="S154" s="59"/>
    </row>
    <row r="155" spans="1:19" x14ac:dyDescent="0.2">
      <c r="A155" s="58">
        <v>43305</v>
      </c>
      <c r="B155" s="12" t="s">
        <v>117</v>
      </c>
      <c r="C155" s="59"/>
      <c r="D155" s="59"/>
      <c r="E155" s="59"/>
      <c r="F155" s="59">
        <v>99</v>
      </c>
      <c r="G155" s="59"/>
      <c r="H155" s="59"/>
      <c r="I155" s="59"/>
      <c r="O155" s="59"/>
      <c r="P155" s="59"/>
      <c r="Q155" s="59"/>
      <c r="R155" s="59"/>
      <c r="S155" s="59"/>
    </row>
    <row r="156" spans="1:19" x14ac:dyDescent="0.2">
      <c r="A156" s="58"/>
      <c r="B156" s="12"/>
      <c r="C156" s="59"/>
      <c r="D156" s="59"/>
      <c r="E156" s="59"/>
      <c r="F156" s="59">
        <v>2000</v>
      </c>
      <c r="G156" s="59"/>
      <c r="H156" s="59"/>
      <c r="I156" s="59"/>
      <c r="O156" s="59"/>
      <c r="P156" s="59"/>
      <c r="Q156" s="59"/>
      <c r="R156" s="59"/>
      <c r="S156" s="59"/>
    </row>
    <row r="157" spans="1:19" x14ac:dyDescent="0.2">
      <c r="A157" s="58"/>
      <c r="B157" s="12"/>
      <c r="C157" s="59"/>
      <c r="D157" s="59"/>
      <c r="E157" s="59"/>
      <c r="F157" s="59">
        <v>-3300</v>
      </c>
      <c r="G157" s="59"/>
      <c r="H157" s="59"/>
      <c r="I157" s="59"/>
      <c r="O157" s="59"/>
      <c r="P157" s="59"/>
      <c r="Q157" s="59"/>
      <c r="R157" s="59"/>
      <c r="S157" s="59"/>
    </row>
    <row r="158" spans="1:19" x14ac:dyDescent="0.2">
      <c r="A158" s="58">
        <v>43315</v>
      </c>
      <c r="B158" s="12" t="s">
        <v>44</v>
      </c>
      <c r="C158" s="59">
        <v>452</v>
      </c>
      <c r="D158" s="59">
        <f>C158/4</f>
        <v>113</v>
      </c>
      <c r="E158" s="59"/>
      <c r="F158" s="59">
        <v>113</v>
      </c>
      <c r="G158" s="59">
        <v>113</v>
      </c>
      <c r="H158" s="59">
        <v>113</v>
      </c>
      <c r="I158" s="59"/>
      <c r="O158" s="59"/>
      <c r="P158" s="59"/>
      <c r="Q158" s="59"/>
      <c r="R158" s="59"/>
      <c r="S158" s="59"/>
    </row>
    <row r="159" spans="1:19" x14ac:dyDescent="0.2">
      <c r="A159" s="58">
        <v>43318</v>
      </c>
      <c r="B159" s="12" t="s">
        <v>118</v>
      </c>
      <c r="C159" s="59">
        <v>226</v>
      </c>
      <c r="D159" s="59">
        <f>C159/2</f>
        <v>113</v>
      </c>
      <c r="E159" s="59"/>
      <c r="F159" s="59">
        <v>-226</v>
      </c>
      <c r="G159" s="59"/>
      <c r="H159" s="59">
        <v>113</v>
      </c>
      <c r="I159" s="59"/>
      <c r="O159" s="59"/>
      <c r="P159" s="59"/>
      <c r="Q159" s="59"/>
      <c r="R159" s="59"/>
      <c r="S159" s="59"/>
    </row>
    <row r="160" spans="1:19" x14ac:dyDescent="0.2">
      <c r="A160" s="58">
        <v>43325</v>
      </c>
      <c r="B160" s="12" t="s">
        <v>119</v>
      </c>
      <c r="C160" s="59">
        <v>126</v>
      </c>
      <c r="D160" s="59">
        <f>C160/2</f>
        <v>63</v>
      </c>
      <c r="E160" s="59"/>
      <c r="F160" s="59"/>
      <c r="G160" s="59"/>
      <c r="H160" s="59">
        <v>63</v>
      </c>
      <c r="I160" s="59"/>
      <c r="O160" s="59"/>
      <c r="P160" s="59"/>
      <c r="Q160" s="59"/>
      <c r="R160" s="59"/>
      <c r="S160" s="59"/>
    </row>
    <row r="161" spans="1:19" x14ac:dyDescent="0.2">
      <c r="A161" s="58">
        <v>43325</v>
      </c>
      <c r="B161" s="12" t="s">
        <v>120</v>
      </c>
      <c r="C161" s="59">
        <v>539</v>
      </c>
      <c r="D161" s="59"/>
      <c r="E161" s="59"/>
      <c r="F161" s="59"/>
      <c r="G161" s="59"/>
      <c r="H161" s="59">
        <v>539</v>
      </c>
      <c r="I161" s="59"/>
      <c r="O161" s="59"/>
      <c r="P161" s="59"/>
      <c r="Q161" s="59"/>
      <c r="R161" s="59"/>
      <c r="S161" s="59"/>
    </row>
    <row r="162" spans="1:19" x14ac:dyDescent="0.2">
      <c r="A162" s="58">
        <v>43328</v>
      </c>
      <c r="B162" s="12" t="s">
        <v>121</v>
      </c>
      <c r="C162" s="59">
        <v>500</v>
      </c>
      <c r="D162" s="59"/>
      <c r="E162" s="59"/>
      <c r="F162" s="59"/>
      <c r="G162" s="59"/>
      <c r="H162" s="59">
        <v>500</v>
      </c>
      <c r="I162" s="59"/>
      <c r="J162" s="12" t="s">
        <v>122</v>
      </c>
      <c r="K162" s="12">
        <v>62.16</v>
      </c>
      <c r="O162" s="59"/>
      <c r="P162" s="59"/>
      <c r="Q162" s="59"/>
      <c r="R162" s="59"/>
      <c r="S162" s="59"/>
    </row>
    <row r="163" spans="1:19" x14ac:dyDescent="0.2">
      <c r="A163" s="58"/>
      <c r="B163" s="12" t="s">
        <v>123</v>
      </c>
      <c r="C163" s="59"/>
      <c r="D163" s="59"/>
      <c r="E163" s="59"/>
      <c r="F163" s="59"/>
      <c r="G163" s="59"/>
      <c r="H163" s="59">
        <v>-447.92</v>
      </c>
      <c r="I163" s="59"/>
      <c r="J163" s="12" t="s">
        <v>124</v>
      </c>
      <c r="K163" s="12">
        <v>62.16</v>
      </c>
      <c r="O163" s="59"/>
      <c r="P163" s="59"/>
      <c r="Q163" s="59"/>
      <c r="R163" s="59"/>
      <c r="S163" s="59"/>
    </row>
    <row r="164" spans="1:19" x14ac:dyDescent="0.2">
      <c r="A164" s="58">
        <v>43341</v>
      </c>
      <c r="B164" s="12" t="s">
        <v>125</v>
      </c>
      <c r="C164" s="59">
        <v>1295</v>
      </c>
      <c r="D164" s="59">
        <f>C164/5</f>
        <v>259</v>
      </c>
      <c r="E164" s="59">
        <v>259</v>
      </c>
      <c r="F164" s="59">
        <v>259</v>
      </c>
      <c r="G164" s="59">
        <v>259</v>
      </c>
      <c r="H164" s="59">
        <v>259</v>
      </c>
      <c r="I164" s="59"/>
      <c r="J164" s="12" t="s">
        <v>126</v>
      </c>
      <c r="K164" s="12">
        <v>62.16</v>
      </c>
      <c r="O164" s="59"/>
      <c r="P164" s="59"/>
      <c r="Q164" s="59"/>
      <c r="R164" s="59"/>
      <c r="S164" s="59"/>
    </row>
    <row r="165" spans="1:19" x14ac:dyDescent="0.2">
      <c r="A165" s="58">
        <v>43339</v>
      </c>
      <c r="B165" s="12" t="s">
        <v>44</v>
      </c>
      <c r="C165" s="59">
        <v>250</v>
      </c>
      <c r="D165" s="59">
        <f>C165/3</f>
        <v>83.333333333333329</v>
      </c>
      <c r="E165" s="59"/>
      <c r="F165" s="59">
        <v>83.33</v>
      </c>
      <c r="G165" s="59">
        <v>83.33</v>
      </c>
      <c r="H165" s="59"/>
      <c r="I165" s="59"/>
      <c r="J165" s="12" t="s">
        <v>127</v>
      </c>
      <c r="K165" s="12">
        <v>151.62</v>
      </c>
      <c r="L165" s="54" t="s">
        <v>15</v>
      </c>
      <c r="O165" s="59"/>
      <c r="P165" s="59"/>
      <c r="Q165" s="59"/>
      <c r="R165" s="59"/>
      <c r="S165" s="59"/>
    </row>
    <row r="166" spans="1:19" x14ac:dyDescent="0.2">
      <c r="A166" s="58"/>
      <c r="B166" s="12"/>
      <c r="C166" s="59"/>
      <c r="D166" s="59"/>
      <c r="E166" s="59"/>
      <c r="F166" s="59"/>
      <c r="G166" s="59"/>
      <c r="H166" s="59"/>
      <c r="I166" s="59"/>
      <c r="J166" s="12" t="s">
        <v>128</v>
      </c>
      <c r="K166" s="12">
        <v>186.48</v>
      </c>
      <c r="O166" s="59"/>
      <c r="P166" s="59"/>
      <c r="Q166" s="59"/>
      <c r="R166" s="59"/>
      <c r="S166" s="59"/>
    </row>
    <row r="167" spans="1:19" x14ac:dyDescent="0.2">
      <c r="A167" s="58"/>
      <c r="B167" s="12" t="s">
        <v>129</v>
      </c>
      <c r="C167" s="59"/>
      <c r="D167" s="59"/>
      <c r="E167" s="59"/>
      <c r="F167" s="59"/>
      <c r="G167" s="59"/>
      <c r="H167" s="59">
        <v>-420</v>
      </c>
      <c r="I167" s="59"/>
      <c r="O167" s="59"/>
      <c r="P167" s="59"/>
      <c r="Q167" s="59"/>
      <c r="R167" s="59"/>
      <c r="S167" s="59"/>
    </row>
    <row r="168" spans="1:19" x14ac:dyDescent="0.2">
      <c r="A168" s="58"/>
      <c r="B168" s="12"/>
      <c r="C168" s="59"/>
      <c r="D168" s="59"/>
      <c r="E168" s="59"/>
      <c r="F168" s="59">
        <v>-150</v>
      </c>
      <c r="G168" s="59"/>
      <c r="H168" s="59"/>
      <c r="I168" s="59"/>
    </row>
    <row r="169" spans="1:19" x14ac:dyDescent="0.2">
      <c r="A169" s="58">
        <v>43364</v>
      </c>
      <c r="B169" s="12" t="s">
        <v>130</v>
      </c>
      <c r="C169" s="59">
        <v>680</v>
      </c>
      <c r="D169" s="59">
        <f>C169/4</f>
        <v>170</v>
      </c>
      <c r="E169" s="59"/>
      <c r="F169" s="59">
        <v>170</v>
      </c>
      <c r="G169" s="59">
        <v>170</v>
      </c>
      <c r="H169" s="59">
        <v>170</v>
      </c>
      <c r="I169" s="59"/>
    </row>
    <row r="170" spans="1:19" x14ac:dyDescent="0.2">
      <c r="A170" s="58"/>
      <c r="B170" s="12"/>
      <c r="C170" s="59"/>
      <c r="D170" s="59"/>
      <c r="E170" s="59"/>
      <c r="F170" s="59"/>
      <c r="G170" s="59">
        <v>-680</v>
      </c>
      <c r="H170" s="59"/>
      <c r="I170" s="59"/>
    </row>
    <row r="171" spans="1:19" x14ac:dyDescent="0.2">
      <c r="A171" s="58">
        <v>43374</v>
      </c>
      <c r="B171" s="12" t="s">
        <v>131</v>
      </c>
      <c r="C171" s="59">
        <v>470.67</v>
      </c>
      <c r="D171" s="59"/>
      <c r="E171" s="59"/>
      <c r="F171" s="59">
        <v>470.67</v>
      </c>
      <c r="G171" s="59"/>
      <c r="H171" s="59"/>
      <c r="I171" s="59"/>
    </row>
    <row r="172" spans="1:19" x14ac:dyDescent="0.2">
      <c r="A172" s="58">
        <v>43378</v>
      </c>
      <c r="B172" s="12" t="s">
        <v>132</v>
      </c>
      <c r="C172" s="59"/>
      <c r="D172" s="59"/>
      <c r="E172" s="59"/>
      <c r="F172" s="59"/>
      <c r="G172" s="59">
        <v>-5000</v>
      </c>
      <c r="H172" s="59"/>
      <c r="I172" s="59"/>
    </row>
    <row r="173" spans="1:19" x14ac:dyDescent="0.2">
      <c r="A173" s="58"/>
      <c r="B173" s="12" t="s">
        <v>133</v>
      </c>
      <c r="C173" s="59">
        <v>165</v>
      </c>
      <c r="D173" s="59">
        <f>C173/3</f>
        <v>55</v>
      </c>
      <c r="E173" s="59"/>
      <c r="F173" s="59">
        <v>55</v>
      </c>
      <c r="G173" s="59">
        <v>55</v>
      </c>
      <c r="H173" s="59"/>
      <c r="I173" s="59"/>
    </row>
    <row r="174" spans="1:19" x14ac:dyDescent="0.2">
      <c r="A174" s="58"/>
      <c r="B174" s="12" t="s">
        <v>134</v>
      </c>
      <c r="C174" s="59">
        <v>154</v>
      </c>
      <c r="D174" s="59">
        <f>C174/2</f>
        <v>77</v>
      </c>
      <c r="E174" s="59"/>
      <c r="F174" s="59">
        <v>77</v>
      </c>
      <c r="G174" s="59"/>
      <c r="H174" s="59"/>
      <c r="I174" s="59"/>
    </row>
    <row r="175" spans="1:19" x14ac:dyDescent="0.2">
      <c r="A175" s="58"/>
      <c r="B175" s="12" t="s">
        <v>118</v>
      </c>
      <c r="C175" s="59">
        <v>329</v>
      </c>
      <c r="D175" s="59">
        <f>C175/3</f>
        <v>109.66666666666667</v>
      </c>
      <c r="E175" s="59"/>
      <c r="F175" s="59">
        <v>109.67</v>
      </c>
      <c r="G175" s="59"/>
      <c r="H175" s="59">
        <v>109.67</v>
      </c>
      <c r="I175" s="59"/>
    </row>
    <row r="176" spans="1:19" x14ac:dyDescent="0.2">
      <c r="A176" s="58"/>
      <c r="B176" s="12" t="s">
        <v>119</v>
      </c>
      <c r="C176" s="59">
        <v>242</v>
      </c>
      <c r="D176" s="59">
        <v>121</v>
      </c>
      <c r="E176" s="59"/>
      <c r="F176" s="59"/>
      <c r="G176" s="59"/>
      <c r="H176" s="59">
        <v>121</v>
      </c>
      <c r="I176" s="59"/>
    </row>
    <row r="177" spans="1:10" x14ac:dyDescent="0.2">
      <c r="A177" s="58">
        <v>43433</v>
      </c>
      <c r="B177" s="12" t="s">
        <v>10</v>
      </c>
      <c r="C177" s="59">
        <v>524</v>
      </c>
      <c r="D177" s="59">
        <v>62.16</v>
      </c>
      <c r="E177" s="59"/>
      <c r="F177" s="59">
        <v>62.16</v>
      </c>
      <c r="G177" s="59"/>
      <c r="H177" s="59">
        <v>62.16</v>
      </c>
      <c r="I177" s="59"/>
    </row>
    <row r="178" spans="1:10" x14ac:dyDescent="0.2">
      <c r="A178" s="58"/>
      <c r="B178" s="12" t="s">
        <v>135</v>
      </c>
      <c r="C178" s="59"/>
      <c r="D178" s="59"/>
      <c r="E178" s="59"/>
      <c r="F178" s="59">
        <v>-1500</v>
      </c>
      <c r="G178" s="59">
        <v>9275.33</v>
      </c>
      <c r="H178" s="59"/>
      <c r="I178" s="59"/>
    </row>
    <row r="179" spans="1:10" x14ac:dyDescent="0.2">
      <c r="A179" s="58">
        <v>43390</v>
      </c>
      <c r="B179" s="12" t="s">
        <v>136</v>
      </c>
      <c r="C179" s="59"/>
      <c r="D179" s="59"/>
      <c r="E179" s="59"/>
      <c r="F179" s="59">
        <v>41.78</v>
      </c>
      <c r="G179" s="59">
        <v>-10000</v>
      </c>
      <c r="H179" s="59"/>
      <c r="I179" s="59"/>
    </row>
    <row r="180" spans="1:10" x14ac:dyDescent="0.2">
      <c r="A180" s="58"/>
      <c r="B180" s="12" t="s">
        <v>83</v>
      </c>
      <c r="C180" s="59"/>
      <c r="D180" s="59"/>
      <c r="E180" s="59"/>
      <c r="F180" s="59"/>
      <c r="G180" s="59"/>
      <c r="H180" s="59"/>
      <c r="I180" s="59"/>
    </row>
    <row r="181" spans="1:10" x14ac:dyDescent="0.2">
      <c r="A181" s="58"/>
      <c r="B181" s="12" t="s">
        <v>50</v>
      </c>
      <c r="C181" s="59"/>
      <c r="D181" s="59"/>
      <c r="E181" s="59"/>
      <c r="F181" s="59"/>
      <c r="G181" s="59"/>
      <c r="H181" s="59"/>
      <c r="I181" s="59"/>
    </row>
    <row r="182" spans="1:10" x14ac:dyDescent="0.2">
      <c r="A182" s="58"/>
      <c r="B182" s="12" t="s">
        <v>137</v>
      </c>
      <c r="C182" s="59">
        <v>790</v>
      </c>
      <c r="D182" s="59">
        <f>C182/4</f>
        <v>197.5</v>
      </c>
      <c r="E182" s="59"/>
      <c r="F182" s="59">
        <v>197.5</v>
      </c>
      <c r="G182" s="59">
        <v>197.5</v>
      </c>
      <c r="H182" s="59">
        <v>197.5</v>
      </c>
      <c r="I182" s="59"/>
    </row>
    <row r="183" spans="1:10" x14ac:dyDescent="0.2">
      <c r="A183" s="58"/>
      <c r="B183" s="12" t="s">
        <v>138</v>
      </c>
      <c r="C183" s="59"/>
      <c r="D183" s="59"/>
      <c r="E183" s="59"/>
      <c r="F183" s="59"/>
      <c r="G183" s="59">
        <v>9167.67</v>
      </c>
      <c r="H183" s="59"/>
      <c r="I183" s="59"/>
    </row>
    <row r="184" spans="1:10" x14ac:dyDescent="0.2">
      <c r="A184" s="58"/>
      <c r="B184" s="12" t="s">
        <v>139</v>
      </c>
      <c r="C184" s="59"/>
      <c r="D184" s="59"/>
      <c r="E184" s="59"/>
      <c r="F184" s="59"/>
      <c r="G184" s="59">
        <v>1230</v>
      </c>
      <c r="H184" s="59"/>
      <c r="I184" s="59"/>
    </row>
    <row r="185" spans="1:10" x14ac:dyDescent="0.2">
      <c r="A185" s="58">
        <v>43475</v>
      </c>
      <c r="B185" s="12" t="s">
        <v>140</v>
      </c>
      <c r="C185" s="59">
        <v>359</v>
      </c>
      <c r="D185" s="59">
        <f>C185/3</f>
        <v>119.66666666666667</v>
      </c>
      <c r="E185" s="59"/>
      <c r="F185" s="59">
        <v>119.67</v>
      </c>
      <c r="G185" s="59">
        <v>-9168</v>
      </c>
      <c r="H185" s="59">
        <v>119.67</v>
      </c>
      <c r="I185" s="59"/>
    </row>
    <row r="186" spans="1:10" x14ac:dyDescent="0.2">
      <c r="A186" s="58">
        <v>43483</v>
      </c>
      <c r="B186" s="12" t="s">
        <v>10</v>
      </c>
      <c r="C186" s="59">
        <v>290</v>
      </c>
      <c r="D186" s="59">
        <f>C186/5</f>
        <v>58</v>
      </c>
      <c r="E186" s="59">
        <v>58</v>
      </c>
      <c r="F186" s="59">
        <v>58</v>
      </c>
      <c r="G186" s="59">
        <v>58</v>
      </c>
      <c r="H186" s="59">
        <v>58</v>
      </c>
      <c r="I186" s="59"/>
    </row>
    <row r="187" spans="1:10" x14ac:dyDescent="0.2">
      <c r="A187" s="58"/>
      <c r="B187" s="12" t="s">
        <v>141</v>
      </c>
      <c r="C187" s="59"/>
      <c r="D187" s="59"/>
      <c r="E187" s="59"/>
      <c r="F187" s="59"/>
      <c r="G187" s="59">
        <v>9058.75</v>
      </c>
      <c r="H187" s="59"/>
      <c r="I187" s="59"/>
    </row>
    <row r="188" spans="1:10" x14ac:dyDescent="0.2">
      <c r="A188" s="58"/>
      <c r="B188" s="12" t="s">
        <v>142</v>
      </c>
      <c r="C188" s="59">
        <v>120</v>
      </c>
      <c r="D188" s="59"/>
      <c r="E188" s="59"/>
      <c r="F188" s="59"/>
      <c r="G188" s="59">
        <v>120</v>
      </c>
      <c r="H188" s="59">
        <v>120</v>
      </c>
      <c r="I188" s="59"/>
    </row>
    <row r="189" spans="1:10" x14ac:dyDescent="0.2">
      <c r="A189" s="58"/>
      <c r="B189" s="12" t="s">
        <v>143</v>
      </c>
      <c r="C189" s="59"/>
      <c r="D189" s="59"/>
      <c r="E189" s="59"/>
      <c r="F189" s="59"/>
      <c r="G189" s="59"/>
      <c r="H189" s="59">
        <v>430</v>
      </c>
      <c r="I189" s="59"/>
    </row>
    <row r="190" spans="1:10" x14ac:dyDescent="0.2">
      <c r="A190" s="58"/>
      <c r="B190" s="12" t="s">
        <v>144</v>
      </c>
      <c r="C190" s="59"/>
      <c r="D190" s="59"/>
      <c r="E190" s="59"/>
      <c r="F190" s="59"/>
      <c r="G190" s="59"/>
      <c r="H190" s="59">
        <v>-300</v>
      </c>
      <c r="I190" s="59"/>
    </row>
    <row r="191" spans="1:10" x14ac:dyDescent="0.2">
      <c r="A191" s="58"/>
      <c r="B191" s="12" t="s">
        <v>145</v>
      </c>
      <c r="C191" s="59">
        <v>628</v>
      </c>
      <c r="D191" s="59">
        <f>C191/4</f>
        <v>157</v>
      </c>
      <c r="E191" s="59">
        <v>157</v>
      </c>
      <c r="F191" s="59">
        <v>157</v>
      </c>
      <c r="G191" s="59">
        <v>-10000</v>
      </c>
      <c r="H191" s="59">
        <v>157</v>
      </c>
      <c r="I191" s="59"/>
    </row>
    <row r="192" spans="1:10" x14ac:dyDescent="0.2">
      <c r="A192" s="58"/>
      <c r="B192" s="12" t="s">
        <v>58</v>
      </c>
      <c r="C192" s="59">
        <v>219</v>
      </c>
      <c r="D192" s="59">
        <f>C192/3</f>
        <v>73</v>
      </c>
      <c r="E192" s="59">
        <v>73</v>
      </c>
      <c r="F192" s="59">
        <v>73</v>
      </c>
      <c r="G192" s="59"/>
      <c r="H192" s="59"/>
      <c r="I192" s="59"/>
      <c r="J192" s="61"/>
    </row>
    <row r="193" spans="1:9" x14ac:dyDescent="0.2">
      <c r="A193" s="58"/>
      <c r="B193" s="12" t="s">
        <v>146</v>
      </c>
      <c r="C193" s="59"/>
      <c r="D193" s="59">
        <v>130</v>
      </c>
      <c r="E193" s="59">
        <v>102</v>
      </c>
      <c r="F193" s="59">
        <v>102</v>
      </c>
      <c r="G193" s="59">
        <v>70</v>
      </c>
      <c r="H193" s="59"/>
      <c r="I193" s="59"/>
    </row>
    <row r="194" spans="1:9" x14ac:dyDescent="0.2">
      <c r="A194" s="58"/>
      <c r="B194" s="12"/>
      <c r="C194" s="59"/>
      <c r="D194" s="59"/>
      <c r="E194" s="59">
        <v>-50</v>
      </c>
      <c r="F194" s="59">
        <v>-10</v>
      </c>
      <c r="G194" s="59">
        <v>490</v>
      </c>
      <c r="H194" s="59"/>
      <c r="I194" s="59"/>
    </row>
    <row r="195" spans="1:9" x14ac:dyDescent="0.2">
      <c r="A195" s="58"/>
      <c r="B195" s="12"/>
      <c r="C195" s="59"/>
      <c r="D195" s="59"/>
      <c r="E195" s="59"/>
      <c r="F195" s="59">
        <v>-150</v>
      </c>
      <c r="G195" s="59">
        <v>-500</v>
      </c>
      <c r="H195" s="59"/>
      <c r="I195" s="59"/>
    </row>
    <row r="196" spans="1:9" x14ac:dyDescent="0.2">
      <c r="A196" s="58"/>
      <c r="B196" s="12" t="s">
        <v>147</v>
      </c>
      <c r="C196" s="59"/>
      <c r="D196" s="59"/>
      <c r="E196" s="59"/>
      <c r="F196" s="59"/>
      <c r="G196" s="59">
        <v>8948.5400000000009</v>
      </c>
      <c r="H196" s="59"/>
      <c r="I196" s="59"/>
    </row>
    <row r="197" spans="1:9" x14ac:dyDescent="0.2">
      <c r="A197" s="58"/>
      <c r="B197" s="12" t="s">
        <v>148</v>
      </c>
      <c r="C197" s="59">
        <v>190</v>
      </c>
      <c r="D197" s="59">
        <f>C197/5</f>
        <v>38</v>
      </c>
      <c r="E197" s="59">
        <v>38</v>
      </c>
      <c r="F197" s="59">
        <v>38</v>
      </c>
      <c r="G197" s="59">
        <v>-10000</v>
      </c>
      <c r="H197" s="59">
        <v>38</v>
      </c>
      <c r="I197" s="59"/>
    </row>
    <row r="198" spans="1:9" x14ac:dyDescent="0.2">
      <c r="A198" s="58"/>
      <c r="B198" s="12" t="s">
        <v>149</v>
      </c>
      <c r="C198" s="59">
        <v>500</v>
      </c>
      <c r="D198" s="59">
        <f>C198/4</f>
        <v>125</v>
      </c>
      <c r="E198" s="59">
        <v>125</v>
      </c>
      <c r="F198" s="59">
        <v>125</v>
      </c>
      <c r="G198" s="59"/>
      <c r="H198" s="59">
        <v>125</v>
      </c>
      <c r="I198" s="59"/>
    </row>
    <row r="199" spans="1:9" x14ac:dyDescent="0.2">
      <c r="A199" s="58"/>
      <c r="B199" s="12" t="s">
        <v>149</v>
      </c>
      <c r="C199" s="59">
        <v>249</v>
      </c>
      <c r="D199" s="59">
        <f>C199/3</f>
        <v>83</v>
      </c>
      <c r="E199" s="59">
        <v>83</v>
      </c>
      <c r="F199" s="59">
        <v>83</v>
      </c>
      <c r="G199" s="59"/>
      <c r="H199" s="59"/>
      <c r="I199" s="59"/>
    </row>
    <row r="200" spans="1:9" x14ac:dyDescent="0.2">
      <c r="A200" s="58">
        <v>43511</v>
      </c>
      <c r="B200" s="12" t="s">
        <v>119</v>
      </c>
      <c r="C200" s="59">
        <v>252</v>
      </c>
      <c r="D200" s="59">
        <f>C200/2</f>
        <v>126</v>
      </c>
      <c r="E200" s="59"/>
      <c r="F200" s="59"/>
      <c r="G200" s="59"/>
      <c r="H200" s="59">
        <v>126</v>
      </c>
      <c r="I200" s="59"/>
    </row>
    <row r="201" spans="1:9" x14ac:dyDescent="0.2">
      <c r="A201" s="58"/>
      <c r="B201" s="12"/>
      <c r="C201" s="59"/>
      <c r="D201" s="59"/>
      <c r="E201" s="59"/>
      <c r="F201" s="59"/>
      <c r="G201" s="59"/>
      <c r="H201" s="59"/>
      <c r="I201" s="59"/>
    </row>
    <row r="202" spans="1:9" x14ac:dyDescent="0.2">
      <c r="A202" s="58"/>
      <c r="B202" s="12"/>
      <c r="C202" s="59"/>
      <c r="D202" s="59"/>
      <c r="E202" s="59"/>
      <c r="F202" s="59"/>
      <c r="G202" s="59"/>
      <c r="H202" s="59"/>
      <c r="I202" s="59"/>
    </row>
    <row r="203" spans="1:9" x14ac:dyDescent="0.2">
      <c r="A203" s="58"/>
      <c r="B203" s="12"/>
      <c r="C203" s="59"/>
      <c r="D203" s="59"/>
      <c r="E203" s="59"/>
      <c r="F203" s="59"/>
      <c r="G203" s="59"/>
      <c r="H203" s="59"/>
      <c r="I203" s="59"/>
    </row>
    <row r="204" spans="1:9" x14ac:dyDescent="0.2">
      <c r="A204" s="58"/>
      <c r="B204" s="12"/>
      <c r="C204" s="59"/>
      <c r="D204" s="59"/>
      <c r="E204" s="59"/>
      <c r="F204" s="59"/>
      <c r="G204" s="59"/>
      <c r="H204" s="59"/>
      <c r="I204" s="59"/>
    </row>
    <row r="205" spans="1:9" x14ac:dyDescent="0.2">
      <c r="A205" s="58"/>
      <c r="B205" s="12" t="s">
        <v>150</v>
      </c>
      <c r="C205" s="59">
        <v>120</v>
      </c>
      <c r="D205" s="59">
        <v>30</v>
      </c>
      <c r="E205" s="59">
        <v>30</v>
      </c>
      <c r="F205" s="59">
        <v>30</v>
      </c>
      <c r="G205" s="59"/>
      <c r="H205" s="59">
        <v>30</v>
      </c>
      <c r="I205" s="59"/>
    </row>
    <row r="206" spans="1:9" x14ac:dyDescent="0.2">
      <c r="A206" s="58"/>
      <c r="B206" s="12"/>
      <c r="C206" s="59"/>
      <c r="D206" s="59"/>
      <c r="E206" s="59"/>
      <c r="F206" s="59"/>
      <c r="G206" s="59"/>
      <c r="H206" s="59"/>
      <c r="I206" s="59"/>
    </row>
    <row r="207" spans="1:9" x14ac:dyDescent="0.2">
      <c r="A207" s="58"/>
      <c r="B207" s="12" t="s">
        <v>151</v>
      </c>
      <c r="C207" s="59">
        <v>90</v>
      </c>
      <c r="D207" s="59">
        <v>30</v>
      </c>
      <c r="E207" s="59">
        <v>30</v>
      </c>
      <c r="F207" s="59">
        <v>30</v>
      </c>
      <c r="G207" s="59"/>
      <c r="H207" s="59"/>
      <c r="I207" s="59"/>
    </row>
    <row r="208" spans="1:9" x14ac:dyDescent="0.2">
      <c r="A208" s="58"/>
      <c r="B208" s="12" t="s">
        <v>152</v>
      </c>
      <c r="C208" s="59">
        <v>25</v>
      </c>
      <c r="D208" s="59">
        <f>C208/3</f>
        <v>8.3333333333333339</v>
      </c>
      <c r="E208" s="59">
        <v>8.3333300000000001</v>
      </c>
      <c r="F208" s="59">
        <v>8.3333300000000001</v>
      </c>
      <c r="G208" s="59"/>
      <c r="H208" s="59"/>
      <c r="I208" s="59"/>
    </row>
    <row r="209" spans="1:9" x14ac:dyDescent="0.2">
      <c r="A209" s="58">
        <v>43525</v>
      </c>
      <c r="B209" s="12" t="s">
        <v>58</v>
      </c>
      <c r="C209" s="59">
        <v>249</v>
      </c>
      <c r="D209" s="59">
        <f>C209/3</f>
        <v>83</v>
      </c>
      <c r="E209" s="59">
        <v>83</v>
      </c>
      <c r="F209" s="59">
        <v>-25</v>
      </c>
      <c r="G209" s="59"/>
      <c r="H209" s="59"/>
      <c r="I209" s="59"/>
    </row>
    <row r="210" spans="1:9" x14ac:dyDescent="0.2">
      <c r="A210" s="58"/>
      <c r="B210" s="12" t="s">
        <v>153</v>
      </c>
      <c r="C210" s="59">
        <v>227</v>
      </c>
      <c r="D210" s="59">
        <f>C210/4</f>
        <v>56.75</v>
      </c>
      <c r="E210" s="59">
        <v>56.75</v>
      </c>
      <c r="F210" s="59">
        <v>56.75</v>
      </c>
      <c r="G210" s="59">
        <v>56.75</v>
      </c>
      <c r="H210" s="59"/>
      <c r="I210" s="59"/>
    </row>
    <row r="211" spans="1:9" x14ac:dyDescent="0.2">
      <c r="A211" s="58"/>
      <c r="B211" s="12" t="s">
        <v>154</v>
      </c>
      <c r="C211" s="59">
        <v>557</v>
      </c>
      <c r="D211" s="59">
        <f>C211/4</f>
        <v>139.25</v>
      </c>
      <c r="E211" s="59">
        <v>139.25</v>
      </c>
      <c r="F211" s="59">
        <v>139.25</v>
      </c>
      <c r="G211" s="59">
        <v>139.25</v>
      </c>
      <c r="H211" s="59"/>
      <c r="I211" s="59"/>
    </row>
    <row r="212" spans="1:9" x14ac:dyDescent="0.2">
      <c r="A212" s="58"/>
      <c r="B212" s="12"/>
      <c r="C212" s="59"/>
      <c r="D212" s="59"/>
      <c r="E212" s="59"/>
      <c r="F212" s="59">
        <v>83</v>
      </c>
      <c r="G212" s="59"/>
      <c r="H212" s="59"/>
      <c r="I212" s="59"/>
    </row>
    <row r="213" spans="1:9" x14ac:dyDescent="0.2">
      <c r="A213" s="58">
        <v>43532</v>
      </c>
      <c r="B213" s="12" t="s">
        <v>155</v>
      </c>
      <c r="C213" s="59">
        <v>596</v>
      </c>
      <c r="D213" s="59">
        <f>C213/4</f>
        <v>149</v>
      </c>
      <c r="E213" s="59">
        <v>149</v>
      </c>
      <c r="F213" s="59">
        <v>149</v>
      </c>
      <c r="G213" s="59"/>
      <c r="H213" s="59">
        <v>149</v>
      </c>
      <c r="I213" s="59"/>
    </row>
    <row r="214" spans="1:9" x14ac:dyDescent="0.2">
      <c r="A214" s="58">
        <v>43538</v>
      </c>
      <c r="B214" s="12" t="s">
        <v>156</v>
      </c>
      <c r="C214" s="59">
        <v>284</v>
      </c>
      <c r="D214" s="59">
        <f>C214/3</f>
        <v>94.666666666666671</v>
      </c>
      <c r="E214" s="59"/>
      <c r="F214" s="59">
        <v>94.67</v>
      </c>
      <c r="G214" s="59"/>
      <c r="H214" s="59">
        <v>94.67</v>
      </c>
      <c r="I214" s="59"/>
    </row>
    <row r="215" spans="1:9" x14ac:dyDescent="0.2">
      <c r="A215" s="58">
        <v>43543</v>
      </c>
      <c r="B215" s="12" t="s">
        <v>149</v>
      </c>
      <c r="C215" s="59">
        <v>281</v>
      </c>
      <c r="D215" s="59">
        <f>C215/2</f>
        <v>140.5</v>
      </c>
      <c r="E215" s="59"/>
      <c r="F215" s="59">
        <v>140.5</v>
      </c>
      <c r="G215" s="59"/>
      <c r="H215" s="59"/>
      <c r="I215" s="59"/>
    </row>
    <row r="216" spans="1:9" x14ac:dyDescent="0.2">
      <c r="A216" s="58">
        <v>43544</v>
      </c>
      <c r="B216" s="12" t="s">
        <v>157</v>
      </c>
      <c r="C216" s="59">
        <v>250</v>
      </c>
      <c r="D216" s="59">
        <f>C216/3</f>
        <v>83.333333333333329</v>
      </c>
      <c r="E216" s="59">
        <v>83.33</v>
      </c>
      <c r="F216" s="59">
        <v>83.33</v>
      </c>
      <c r="G216" s="59"/>
      <c r="H216" s="59"/>
      <c r="I216" s="59"/>
    </row>
    <row r="217" spans="1:9" x14ac:dyDescent="0.2">
      <c r="A217" s="58"/>
      <c r="B217" s="12" t="s">
        <v>158</v>
      </c>
      <c r="C217" s="59"/>
      <c r="D217" s="59"/>
      <c r="E217" s="59"/>
      <c r="F217" s="59"/>
      <c r="G217" s="59">
        <v>8837.07</v>
      </c>
      <c r="H217" s="59"/>
      <c r="I217" s="59"/>
    </row>
    <row r="218" spans="1:9" x14ac:dyDescent="0.2">
      <c r="A218" s="58"/>
      <c r="B218" s="12"/>
      <c r="C218" s="59"/>
      <c r="D218" s="59"/>
      <c r="E218" s="59"/>
      <c r="F218" s="59"/>
      <c r="G218" s="59">
        <v>-10000</v>
      </c>
      <c r="H218" s="59"/>
      <c r="I218" s="59"/>
    </row>
    <row r="219" spans="1:9" x14ac:dyDescent="0.2">
      <c r="A219" s="58"/>
      <c r="B219" s="12"/>
      <c r="C219" s="59"/>
      <c r="D219" s="59"/>
      <c r="E219" s="59"/>
      <c r="F219" s="59"/>
      <c r="G219" s="59">
        <v>-11250</v>
      </c>
      <c r="H219" s="59"/>
      <c r="I219" s="59"/>
    </row>
    <row r="220" spans="1:9" x14ac:dyDescent="0.2">
      <c r="A220" s="58">
        <v>43556</v>
      </c>
      <c r="B220" s="12" t="s">
        <v>159</v>
      </c>
      <c r="C220" s="59"/>
      <c r="D220" s="59"/>
      <c r="E220" s="59"/>
      <c r="F220" s="59"/>
      <c r="G220" s="59">
        <v>55</v>
      </c>
      <c r="H220" s="59"/>
      <c r="I220" s="59"/>
    </row>
    <row r="221" spans="1:9" x14ac:dyDescent="0.2">
      <c r="A221" s="58"/>
      <c r="B221" s="12"/>
      <c r="C221" s="59"/>
      <c r="D221" s="59"/>
      <c r="E221" s="59"/>
      <c r="F221" s="59"/>
      <c r="G221" s="59">
        <v>8724.2900000000009</v>
      </c>
      <c r="H221" s="59"/>
      <c r="I221" s="59"/>
    </row>
    <row r="222" spans="1:9" x14ac:dyDescent="0.2">
      <c r="A222" s="58">
        <v>43578</v>
      </c>
      <c r="B222" s="12" t="s">
        <v>160</v>
      </c>
      <c r="C222" s="59"/>
      <c r="D222" s="59"/>
      <c r="E222" s="59"/>
      <c r="F222" s="59">
        <v>197.46</v>
      </c>
      <c r="G222" s="59"/>
      <c r="H222" s="59"/>
      <c r="I222" s="59"/>
    </row>
    <row r="223" spans="1:9" x14ac:dyDescent="0.2">
      <c r="A223" s="58"/>
      <c r="B223" s="12" t="s">
        <v>44</v>
      </c>
      <c r="C223" s="59">
        <v>234</v>
      </c>
      <c r="D223" s="59">
        <f>C223/2</f>
        <v>117</v>
      </c>
      <c r="E223" s="59">
        <v>117</v>
      </c>
      <c r="F223" s="59"/>
      <c r="G223" s="59">
        <v>-8725</v>
      </c>
      <c r="H223" s="59"/>
      <c r="I223" s="59"/>
    </row>
    <row r="224" spans="1:9" x14ac:dyDescent="0.2">
      <c r="A224" s="58"/>
      <c r="B224" s="12" t="s">
        <v>161</v>
      </c>
      <c r="C224" s="59">
        <v>320</v>
      </c>
      <c r="D224" s="59">
        <f>C224/2</f>
        <v>160</v>
      </c>
      <c r="E224" s="59">
        <v>160</v>
      </c>
      <c r="F224" s="59"/>
      <c r="G224" s="59"/>
      <c r="H224" s="59"/>
      <c r="I224" s="59"/>
    </row>
    <row r="225" spans="1:9" x14ac:dyDescent="0.2">
      <c r="A225" s="58"/>
      <c r="B225" s="12"/>
      <c r="C225" s="59"/>
      <c r="D225" s="59"/>
      <c r="E225" s="59">
        <v>-100</v>
      </c>
      <c r="F225" s="59"/>
      <c r="G225" s="59"/>
      <c r="H225" s="59"/>
      <c r="I225" s="59"/>
    </row>
    <row r="226" spans="1:9" x14ac:dyDescent="0.2">
      <c r="A226" s="58"/>
      <c r="B226" s="12" t="s">
        <v>10</v>
      </c>
      <c r="C226" s="59">
        <v>396</v>
      </c>
      <c r="D226" s="59">
        <f>C226/2</f>
        <v>198</v>
      </c>
      <c r="E226" s="59">
        <v>198</v>
      </c>
      <c r="F226" s="59"/>
      <c r="G226" s="59"/>
      <c r="H226" s="59"/>
      <c r="I226" s="59"/>
    </row>
    <row r="227" spans="1:9" x14ac:dyDescent="0.2">
      <c r="A227" s="58"/>
      <c r="B227" s="12" t="s">
        <v>162</v>
      </c>
      <c r="C227" s="59">
        <v>179</v>
      </c>
      <c r="D227" s="59">
        <f>C227/2</f>
        <v>89.5</v>
      </c>
      <c r="E227" s="59">
        <v>89.5</v>
      </c>
      <c r="F227" s="59"/>
      <c r="G227" s="59"/>
      <c r="H227" s="59"/>
      <c r="I227" s="59"/>
    </row>
    <row r="228" spans="1:9" x14ac:dyDescent="0.2">
      <c r="A228" s="58"/>
      <c r="B228" s="12" t="s">
        <v>163</v>
      </c>
      <c r="C228" s="59">
        <v>126</v>
      </c>
      <c r="D228" s="59"/>
      <c r="E228" s="59">
        <v>63</v>
      </c>
      <c r="F228" s="59">
        <v>63</v>
      </c>
      <c r="G228" s="59"/>
      <c r="H228" s="59"/>
      <c r="I228" s="59"/>
    </row>
    <row r="229" spans="1:9" x14ac:dyDescent="0.2">
      <c r="A229" s="58"/>
      <c r="B229" s="12" t="s">
        <v>164</v>
      </c>
      <c r="C229" s="59">
        <v>345</v>
      </c>
      <c r="D229" s="59">
        <f>C229/3</f>
        <v>115</v>
      </c>
      <c r="E229" s="59">
        <v>115</v>
      </c>
      <c r="F229" s="59">
        <v>115</v>
      </c>
      <c r="G229" s="59"/>
      <c r="H229" s="59"/>
      <c r="I229" s="59"/>
    </row>
    <row r="230" spans="1:9" x14ac:dyDescent="0.2">
      <c r="A230" s="58"/>
      <c r="B230" s="12" t="s">
        <v>58</v>
      </c>
      <c r="C230" s="59">
        <v>335</v>
      </c>
      <c r="D230" s="59">
        <f>C230/3</f>
        <v>111.66666666666667</v>
      </c>
      <c r="E230" s="59">
        <v>111.67</v>
      </c>
      <c r="F230" s="59">
        <v>111.67</v>
      </c>
      <c r="G230" s="59"/>
      <c r="H230" s="59"/>
      <c r="I230" s="59"/>
    </row>
    <row r="231" spans="1:9" x14ac:dyDescent="0.2">
      <c r="A231" s="58"/>
      <c r="B231" s="12" t="s">
        <v>165</v>
      </c>
      <c r="C231" s="59"/>
      <c r="D231" s="59"/>
      <c r="E231" s="59"/>
      <c r="F231" s="59"/>
      <c r="G231" s="59"/>
      <c r="H231" s="59"/>
      <c r="I231" s="59"/>
    </row>
    <row r="232" spans="1:9" x14ac:dyDescent="0.2">
      <c r="A232" s="58"/>
      <c r="B232" s="12" t="s">
        <v>166</v>
      </c>
      <c r="C232" s="59"/>
      <c r="D232" s="59"/>
      <c r="E232" s="59"/>
      <c r="F232" s="59">
        <v>-100</v>
      </c>
      <c r="G232" s="59"/>
      <c r="H232" s="59"/>
      <c r="I232" s="59"/>
    </row>
    <row r="233" spans="1:9" x14ac:dyDescent="0.2">
      <c r="A233" s="58"/>
      <c r="B233" s="12" t="s">
        <v>167</v>
      </c>
      <c r="C233" s="59">
        <v>295</v>
      </c>
      <c r="D233" s="59">
        <f>C233/4</f>
        <v>73.75</v>
      </c>
      <c r="E233" s="59">
        <v>73.75</v>
      </c>
      <c r="F233" s="59">
        <v>73.75</v>
      </c>
      <c r="G233" s="59"/>
      <c r="H233" s="59">
        <v>73.75</v>
      </c>
      <c r="I233" s="59"/>
    </row>
    <row r="234" spans="1:9" x14ac:dyDescent="0.2">
      <c r="A234" s="58"/>
      <c r="B234" s="12" t="s">
        <v>168</v>
      </c>
      <c r="C234" s="59"/>
      <c r="D234" s="59"/>
      <c r="E234" s="59"/>
      <c r="F234" s="59">
        <v>-295</v>
      </c>
      <c r="G234" s="59"/>
      <c r="H234" s="59"/>
      <c r="I234" s="59"/>
    </row>
    <row r="235" spans="1:9" x14ac:dyDescent="0.2">
      <c r="A235" s="58"/>
      <c r="B235" s="12" t="s">
        <v>169</v>
      </c>
      <c r="C235" s="59">
        <v>80</v>
      </c>
      <c r="D235" s="59">
        <f>C235/3</f>
        <v>26.666666666666668</v>
      </c>
      <c r="E235" s="59">
        <v>26.67</v>
      </c>
      <c r="F235" s="59">
        <v>26.67</v>
      </c>
      <c r="G235" s="59"/>
      <c r="H235" s="59"/>
      <c r="I235" s="59"/>
    </row>
    <row r="236" spans="1:9" x14ac:dyDescent="0.2">
      <c r="A236" s="58"/>
      <c r="B236" s="12"/>
      <c r="C236" s="59"/>
      <c r="D236" s="59"/>
      <c r="E236" s="59"/>
      <c r="F236" s="59">
        <v>-80</v>
      </c>
      <c r="G236" s="59"/>
      <c r="H236" s="59"/>
      <c r="I236" s="59"/>
    </row>
    <row r="237" spans="1:9" x14ac:dyDescent="0.2">
      <c r="A237" s="58"/>
      <c r="B237" s="12" t="s">
        <v>170</v>
      </c>
      <c r="C237" s="59">
        <v>40</v>
      </c>
      <c r="D237" s="59">
        <f>C237/3</f>
        <v>13.333333333333334</v>
      </c>
      <c r="E237" s="59">
        <v>13.33</v>
      </c>
      <c r="F237" s="59">
        <v>13.33</v>
      </c>
      <c r="G237" s="59"/>
      <c r="H237" s="59"/>
      <c r="I237" s="59"/>
    </row>
    <row r="238" spans="1:9" x14ac:dyDescent="0.2">
      <c r="A238" s="58"/>
      <c r="B238" s="12"/>
      <c r="C238" s="59"/>
      <c r="D238" s="59"/>
      <c r="E238" s="59">
        <v>-40</v>
      </c>
      <c r="F238" s="59"/>
      <c r="G238" s="59"/>
      <c r="H238" s="59"/>
      <c r="I238" s="59"/>
    </row>
    <row r="239" spans="1:9" x14ac:dyDescent="0.2">
      <c r="A239" s="58"/>
      <c r="B239" s="12" t="s">
        <v>171</v>
      </c>
      <c r="C239" s="59">
        <v>244</v>
      </c>
      <c r="D239" s="59">
        <f>C239/3</f>
        <v>81.333333333333329</v>
      </c>
      <c r="E239" s="59">
        <v>81.33</v>
      </c>
      <c r="F239" s="59">
        <v>81.33</v>
      </c>
      <c r="G239" s="59"/>
      <c r="H239" s="59"/>
      <c r="I239" s="59"/>
    </row>
    <row r="240" spans="1:9" x14ac:dyDescent="0.2">
      <c r="A240" s="58"/>
      <c r="B240" s="12"/>
      <c r="C240" s="59"/>
      <c r="D240" s="59"/>
      <c r="E240" s="59"/>
      <c r="F240" s="59">
        <v>-244</v>
      </c>
      <c r="G240" s="59"/>
      <c r="H240" s="59"/>
      <c r="I240" s="59"/>
    </row>
    <row r="241" spans="1:9" x14ac:dyDescent="0.2">
      <c r="A241" s="58"/>
      <c r="B241" s="12" t="s">
        <v>172</v>
      </c>
      <c r="C241" s="59"/>
      <c r="D241" s="59"/>
      <c r="E241" s="59"/>
      <c r="F241" s="59"/>
      <c r="G241" s="59">
        <v>1778.17</v>
      </c>
      <c r="H241" s="59"/>
      <c r="I241" s="59"/>
    </row>
    <row r="242" spans="1:9" x14ac:dyDescent="0.2">
      <c r="A242" s="58"/>
      <c r="B242" s="12" t="s">
        <v>173</v>
      </c>
      <c r="C242" s="59"/>
      <c r="D242" s="59"/>
      <c r="E242" s="59">
        <v>3038.15</v>
      </c>
      <c r="F242" s="59"/>
      <c r="G242" s="59">
        <v>-1780</v>
      </c>
      <c r="H242" s="59"/>
      <c r="I242" s="59"/>
    </row>
    <row r="243" spans="1:9" x14ac:dyDescent="0.2">
      <c r="A243" s="58"/>
      <c r="B243" s="12" t="s">
        <v>174</v>
      </c>
      <c r="C243" s="59"/>
      <c r="D243" s="59"/>
      <c r="E243" s="59">
        <v>3033.79</v>
      </c>
      <c r="F243" s="59"/>
      <c r="G243" s="59"/>
      <c r="H243" s="59"/>
      <c r="I243" s="59"/>
    </row>
    <row r="244" spans="1:9" x14ac:dyDescent="0.2">
      <c r="A244" s="58"/>
      <c r="B244" s="12" t="s">
        <v>175</v>
      </c>
      <c r="C244" s="59"/>
      <c r="D244" s="59"/>
      <c r="E244" s="59">
        <v>3028.24</v>
      </c>
      <c r="F244" s="59"/>
      <c r="G244" s="59"/>
      <c r="H244" s="59"/>
      <c r="I244" s="59"/>
    </row>
    <row r="245" spans="1:9" x14ac:dyDescent="0.2">
      <c r="A245" s="58"/>
      <c r="B245" s="12"/>
      <c r="C245" s="59"/>
      <c r="D245" s="59"/>
      <c r="E245" s="59">
        <v>-3007</v>
      </c>
      <c r="F245" s="59"/>
      <c r="G245" s="59"/>
      <c r="H245" s="59"/>
      <c r="I245" s="59"/>
    </row>
    <row r="246" spans="1:9" x14ac:dyDescent="0.2">
      <c r="A246" s="58"/>
      <c r="B246" s="12" t="s">
        <v>176</v>
      </c>
      <c r="C246" s="59"/>
      <c r="D246" s="59"/>
      <c r="E246" s="59">
        <v>-5000</v>
      </c>
      <c r="F246" s="59">
        <v>-1138</v>
      </c>
      <c r="G246" s="59"/>
      <c r="H246" s="59"/>
      <c r="I246" s="59"/>
    </row>
    <row r="247" spans="1:9" x14ac:dyDescent="0.2">
      <c r="A247" s="58">
        <v>43630</v>
      </c>
      <c r="B247" s="12" t="s">
        <v>44</v>
      </c>
      <c r="C247" s="59">
        <v>651</v>
      </c>
      <c r="D247" s="59">
        <f>C247/5</f>
        <v>130.19999999999999</v>
      </c>
      <c r="E247" s="59">
        <v>130.19999999999999</v>
      </c>
      <c r="F247" s="59">
        <v>130.19999999999999</v>
      </c>
      <c r="G247" s="59"/>
      <c r="H247" s="59">
        <v>130.19999999999999</v>
      </c>
      <c r="I247" s="59"/>
    </row>
    <row r="248" spans="1:9" x14ac:dyDescent="0.2">
      <c r="A248" s="58"/>
      <c r="B248" s="12"/>
      <c r="C248" s="59"/>
      <c r="D248" s="59"/>
      <c r="E248" s="59">
        <v>130.19999999999999</v>
      </c>
      <c r="F248" s="59"/>
      <c r="G248" s="59"/>
      <c r="H248" s="59"/>
      <c r="I248" s="59"/>
    </row>
    <row r="249" spans="1:9" x14ac:dyDescent="0.2">
      <c r="A249" s="58">
        <v>43641</v>
      </c>
      <c r="B249" s="12" t="s">
        <v>10</v>
      </c>
      <c r="C249" s="59">
        <v>344</v>
      </c>
      <c r="D249" s="59">
        <v>172</v>
      </c>
      <c r="E249" s="59"/>
      <c r="F249" s="59">
        <v>86</v>
      </c>
      <c r="G249" s="59"/>
      <c r="H249" s="59">
        <v>86</v>
      </c>
      <c r="I249" s="59"/>
    </row>
    <row r="250" spans="1:9" x14ac:dyDescent="0.2">
      <c r="A250" s="58"/>
      <c r="B250" s="12"/>
      <c r="C250" s="59">
        <v>-80</v>
      </c>
      <c r="D250" s="59">
        <v>-40</v>
      </c>
      <c r="E250" s="59"/>
      <c r="F250" s="59">
        <v>-20</v>
      </c>
      <c r="G250" s="59"/>
      <c r="H250" s="59">
        <v>-20</v>
      </c>
      <c r="I250" s="59"/>
    </row>
    <row r="251" spans="1:9" x14ac:dyDescent="0.2">
      <c r="A251" s="58"/>
      <c r="B251" s="12" t="s">
        <v>14</v>
      </c>
      <c r="C251" s="59">
        <v>360</v>
      </c>
      <c r="D251" s="59">
        <f>C251/4</f>
        <v>90</v>
      </c>
      <c r="E251" s="59">
        <v>90</v>
      </c>
      <c r="F251" s="59">
        <v>90</v>
      </c>
      <c r="G251" s="59"/>
      <c r="H251" s="59">
        <v>-3207</v>
      </c>
      <c r="I251" s="59"/>
    </row>
    <row r="252" spans="1:9" x14ac:dyDescent="0.2">
      <c r="A252" s="58"/>
      <c r="B252" s="12"/>
      <c r="C252" s="59"/>
      <c r="D252" s="59"/>
      <c r="E252" s="59"/>
      <c r="F252" s="59">
        <v>-360</v>
      </c>
      <c r="G252" s="59"/>
      <c r="H252" s="59">
        <v>-293</v>
      </c>
      <c r="I252" s="59"/>
    </row>
    <row r="253" spans="1:9" x14ac:dyDescent="0.2">
      <c r="A253" s="58"/>
      <c r="B253" s="12"/>
      <c r="C253" s="59"/>
      <c r="D253" s="59"/>
      <c r="E253" s="59"/>
      <c r="F253" s="59"/>
      <c r="G253" s="59"/>
      <c r="H253" s="59">
        <v>90</v>
      </c>
      <c r="I253" s="59"/>
    </row>
    <row r="254" spans="1:9" x14ac:dyDescent="0.2">
      <c r="A254" s="58"/>
      <c r="B254" s="12"/>
      <c r="C254" s="59"/>
      <c r="D254" s="59"/>
      <c r="E254" s="59">
        <v>-3000</v>
      </c>
      <c r="F254" s="59"/>
      <c r="G254" s="59"/>
      <c r="H254" s="59"/>
      <c r="I254" s="59"/>
    </row>
    <row r="255" spans="1:9" x14ac:dyDescent="0.2">
      <c r="A255" s="58"/>
      <c r="B255" s="12"/>
      <c r="C255" s="59"/>
      <c r="D255" s="59"/>
      <c r="E255" s="59">
        <v>3022.28</v>
      </c>
      <c r="F255" s="59"/>
      <c r="G255" s="59"/>
      <c r="H255" s="59"/>
      <c r="I255" s="59"/>
    </row>
    <row r="256" spans="1:9" x14ac:dyDescent="0.2">
      <c r="A256" s="58"/>
      <c r="B256" s="12"/>
      <c r="C256" s="59"/>
      <c r="D256" s="59"/>
      <c r="E256" s="59">
        <v>-3000</v>
      </c>
      <c r="F256" s="59"/>
      <c r="G256" s="59"/>
      <c r="H256" s="59"/>
      <c r="I256" s="59"/>
    </row>
    <row r="257" spans="1:9" x14ac:dyDescent="0.2">
      <c r="A257" s="58">
        <v>43741</v>
      </c>
      <c r="B257" s="12" t="s">
        <v>119</v>
      </c>
      <c r="C257" s="59">
        <v>143</v>
      </c>
      <c r="D257" s="59">
        <f>C257/3</f>
        <v>47.666666666666664</v>
      </c>
      <c r="E257" s="59">
        <v>47.67</v>
      </c>
      <c r="F257" s="59">
        <v>47.67</v>
      </c>
      <c r="G257" s="59"/>
      <c r="H257" s="59"/>
      <c r="I257" s="59"/>
    </row>
    <row r="258" spans="1:9" x14ac:dyDescent="0.2">
      <c r="A258" s="58">
        <v>43741</v>
      </c>
      <c r="B258" s="12" t="s">
        <v>177</v>
      </c>
      <c r="C258" s="59">
        <v>129</v>
      </c>
      <c r="D258" s="59">
        <f>C258/3</f>
        <v>43</v>
      </c>
      <c r="E258" s="59">
        <v>43</v>
      </c>
      <c r="F258" s="59">
        <v>43</v>
      </c>
      <c r="G258" s="59"/>
      <c r="H258" s="59"/>
      <c r="I258" s="59"/>
    </row>
    <row r="259" spans="1:9" x14ac:dyDescent="0.2">
      <c r="A259" s="58">
        <v>43747</v>
      </c>
      <c r="B259" s="12" t="s">
        <v>10</v>
      </c>
      <c r="C259" s="59">
        <v>196</v>
      </c>
      <c r="D259" s="59">
        <f>C259/3</f>
        <v>65.333333333333329</v>
      </c>
      <c r="E259" s="59"/>
      <c r="F259" s="59">
        <v>65.33</v>
      </c>
      <c r="G259" s="59"/>
      <c r="H259" s="59">
        <v>65.33</v>
      </c>
      <c r="I259" s="59"/>
    </row>
    <row r="260" spans="1:9" x14ac:dyDescent="0.2">
      <c r="A260" s="58">
        <v>43748</v>
      </c>
      <c r="B260" s="12" t="s">
        <v>178</v>
      </c>
      <c r="C260" s="59">
        <v>219</v>
      </c>
      <c r="D260" s="59">
        <f>C260/4</f>
        <v>54.75</v>
      </c>
      <c r="E260" s="59"/>
      <c r="F260" s="59">
        <v>54.75</v>
      </c>
      <c r="G260" s="59">
        <v>54.75</v>
      </c>
      <c r="H260" s="59">
        <v>54.75</v>
      </c>
      <c r="I260" s="59"/>
    </row>
    <row r="261" spans="1:9" x14ac:dyDescent="0.2">
      <c r="A261" s="58">
        <v>43732</v>
      </c>
      <c r="B261" s="12" t="s">
        <v>179</v>
      </c>
      <c r="C261" s="59">
        <v>165</v>
      </c>
      <c r="D261" s="59">
        <f>C261/3</f>
        <v>55</v>
      </c>
      <c r="E261" s="59">
        <v>55</v>
      </c>
      <c r="F261" s="59">
        <v>55</v>
      </c>
      <c r="G261" s="59"/>
      <c r="H261" s="59"/>
      <c r="I261" s="59"/>
    </row>
    <row r="262" spans="1:9" x14ac:dyDescent="0.2">
      <c r="A262" s="58">
        <v>43727</v>
      </c>
      <c r="B262" s="12" t="s">
        <v>10</v>
      </c>
      <c r="C262" s="59">
        <v>188</v>
      </c>
      <c r="D262" s="59">
        <v>130</v>
      </c>
      <c r="E262" s="59"/>
      <c r="F262" s="59">
        <v>58</v>
      </c>
      <c r="G262" s="59"/>
      <c r="H262" s="59"/>
      <c r="I262" s="59"/>
    </row>
    <row r="263" spans="1:9" x14ac:dyDescent="0.2">
      <c r="A263" s="58"/>
      <c r="B263" s="12" t="s">
        <v>179</v>
      </c>
      <c r="C263" s="59">
        <v>210</v>
      </c>
      <c r="D263" s="59">
        <v>55</v>
      </c>
      <c r="E263" s="59">
        <v>110</v>
      </c>
      <c r="F263" s="59">
        <v>55</v>
      </c>
      <c r="G263" s="59"/>
      <c r="H263" s="59"/>
      <c r="I263" s="59"/>
    </row>
    <row r="264" spans="1:9" x14ac:dyDescent="0.2">
      <c r="A264" s="58"/>
      <c r="B264" s="12" t="s">
        <v>180</v>
      </c>
      <c r="C264" s="59">
        <v>1099</v>
      </c>
      <c r="D264" s="59">
        <f>C264/3</f>
        <v>366.33333333333331</v>
      </c>
      <c r="E264" s="59">
        <v>366.33</v>
      </c>
      <c r="F264" s="59">
        <v>366.33</v>
      </c>
      <c r="G264" s="59"/>
      <c r="H264" s="59"/>
      <c r="I264" s="59"/>
    </row>
    <row r="265" spans="1:9" x14ac:dyDescent="0.2">
      <c r="A265" s="58"/>
      <c r="B265" s="12"/>
      <c r="C265" s="59"/>
      <c r="D265" s="59"/>
      <c r="E265" s="59"/>
      <c r="F265" s="59">
        <v>-420</v>
      </c>
      <c r="G265" s="59"/>
      <c r="H265" s="59"/>
      <c r="I265" s="59"/>
    </row>
    <row r="266" spans="1:9" x14ac:dyDescent="0.2">
      <c r="A266" s="58">
        <v>43836</v>
      </c>
      <c r="B266" s="12" t="s">
        <v>155</v>
      </c>
      <c r="C266" s="59">
        <v>231</v>
      </c>
      <c r="D266" s="59">
        <f>C266/4</f>
        <v>57.75</v>
      </c>
      <c r="E266" s="59">
        <v>57.75</v>
      </c>
      <c r="F266" s="59">
        <v>57.75</v>
      </c>
      <c r="G266" s="59">
        <v>57.75</v>
      </c>
      <c r="H266" s="59"/>
      <c r="I266" s="59"/>
    </row>
    <row r="267" spans="1:9" x14ac:dyDescent="0.2">
      <c r="A267" s="58">
        <v>43837</v>
      </c>
      <c r="B267" s="12" t="s">
        <v>181</v>
      </c>
      <c r="C267" s="59">
        <v>175</v>
      </c>
      <c r="D267" s="59">
        <f>C267/4</f>
        <v>43.75</v>
      </c>
      <c r="E267" s="59">
        <v>43.75</v>
      </c>
      <c r="F267" s="59">
        <v>43.75</v>
      </c>
      <c r="G267" s="59">
        <v>43.75</v>
      </c>
      <c r="H267" s="59"/>
      <c r="I267" s="59"/>
    </row>
    <row r="268" spans="1:9" x14ac:dyDescent="0.2">
      <c r="A268" s="58">
        <v>43852</v>
      </c>
      <c r="B268" s="12" t="s">
        <v>182</v>
      </c>
      <c r="C268" s="59"/>
      <c r="D268" s="59"/>
      <c r="E268" s="59">
        <v>1000</v>
      </c>
      <c r="F268" s="59"/>
      <c r="G268" s="59"/>
      <c r="H268" s="59"/>
      <c r="I268" s="59"/>
    </row>
    <row r="269" spans="1:9" x14ac:dyDescent="0.2">
      <c r="A269" s="58">
        <v>43853</v>
      </c>
      <c r="B269" s="12" t="s">
        <v>134</v>
      </c>
      <c r="C269" s="59">
        <v>374</v>
      </c>
      <c r="D269" s="59">
        <f>C269/3</f>
        <v>124.66666666666667</v>
      </c>
      <c r="E269" s="59">
        <v>124.67</v>
      </c>
      <c r="F269" s="59">
        <v>124.67</v>
      </c>
      <c r="G269" s="59"/>
      <c r="H269" s="59"/>
      <c r="I269" s="59"/>
    </row>
    <row r="270" spans="1:9" x14ac:dyDescent="0.2">
      <c r="A270" s="58">
        <v>43858</v>
      </c>
      <c r="B270" s="12" t="s">
        <v>134</v>
      </c>
      <c r="C270" s="59">
        <v>431</v>
      </c>
      <c r="D270" s="59">
        <f>C270/5</f>
        <v>86.2</v>
      </c>
      <c r="E270" s="59">
        <v>86.2</v>
      </c>
      <c r="F270" s="59">
        <v>86.2</v>
      </c>
      <c r="G270" s="59">
        <v>86.2</v>
      </c>
      <c r="H270" s="59">
        <v>86.2</v>
      </c>
      <c r="I270" s="59"/>
    </row>
    <row r="271" spans="1:9" x14ac:dyDescent="0.2">
      <c r="A271" s="58">
        <v>43860</v>
      </c>
      <c r="B271" s="12" t="s">
        <v>134</v>
      </c>
      <c r="C271" s="59">
        <v>746</v>
      </c>
      <c r="D271" s="59">
        <f>C271/5</f>
        <v>149.19999999999999</v>
      </c>
      <c r="E271" s="59">
        <v>149.19999999999999</v>
      </c>
      <c r="F271" s="59">
        <v>149.19999999999999</v>
      </c>
      <c r="G271" s="59">
        <v>149.19999999999999</v>
      </c>
      <c r="H271" s="59">
        <v>149.19999999999999</v>
      </c>
      <c r="I271" s="59"/>
    </row>
    <row r="272" spans="1:9" x14ac:dyDescent="0.2">
      <c r="A272" s="58"/>
      <c r="B272" s="12"/>
      <c r="C272" s="59"/>
      <c r="D272" s="59"/>
      <c r="E272" s="59"/>
      <c r="F272" s="59"/>
      <c r="G272" s="59"/>
      <c r="H272" s="59"/>
      <c r="I272" s="59"/>
    </row>
    <row r="273" spans="1:9" x14ac:dyDescent="0.2">
      <c r="A273" s="58">
        <v>43871</v>
      </c>
      <c r="B273" s="12" t="s">
        <v>179</v>
      </c>
      <c r="C273" s="59">
        <v>175</v>
      </c>
      <c r="D273" s="59">
        <f>C273/3</f>
        <v>58.333333333333336</v>
      </c>
      <c r="E273" s="59">
        <v>58.33</v>
      </c>
      <c r="F273" s="59">
        <v>58.33</v>
      </c>
      <c r="G273" s="59"/>
      <c r="H273" s="59"/>
      <c r="I273" s="59"/>
    </row>
    <row r="274" spans="1:9" x14ac:dyDescent="0.2">
      <c r="A274" s="58">
        <v>43877</v>
      </c>
      <c r="B274" s="12" t="s">
        <v>119</v>
      </c>
      <c r="C274" s="59">
        <v>195</v>
      </c>
      <c r="D274" s="59">
        <f>C274/5</f>
        <v>39</v>
      </c>
      <c r="E274" s="59">
        <v>39</v>
      </c>
      <c r="F274" s="59">
        <v>39</v>
      </c>
      <c r="G274" s="59">
        <v>39</v>
      </c>
      <c r="H274" s="59">
        <v>39</v>
      </c>
      <c r="I274" s="59"/>
    </row>
    <row r="275" spans="1:9" x14ac:dyDescent="0.2">
      <c r="A275" s="58">
        <v>43879</v>
      </c>
      <c r="B275" s="12" t="s">
        <v>10</v>
      </c>
      <c r="C275" s="59">
        <v>399</v>
      </c>
      <c r="D275" s="59">
        <f>C275/6</f>
        <v>66.5</v>
      </c>
      <c r="E275" s="59">
        <v>66.5</v>
      </c>
      <c r="F275" s="59">
        <v>66.5</v>
      </c>
      <c r="G275" s="59">
        <v>66.5</v>
      </c>
      <c r="H275" s="59">
        <v>133</v>
      </c>
      <c r="I275" s="59"/>
    </row>
    <row r="276" spans="1:9" x14ac:dyDescent="0.2">
      <c r="A276" s="58"/>
      <c r="B276" s="12"/>
      <c r="C276" s="59"/>
      <c r="D276" s="59"/>
      <c r="E276" s="59"/>
      <c r="F276" s="59"/>
      <c r="G276" s="59"/>
      <c r="H276" s="59"/>
      <c r="I276" s="59"/>
    </row>
    <row r="277" spans="1:9" x14ac:dyDescent="0.2">
      <c r="A277" s="58">
        <v>43885</v>
      </c>
      <c r="B277" s="12" t="s">
        <v>134</v>
      </c>
      <c r="C277" s="59">
        <v>491</v>
      </c>
      <c r="D277" s="59">
        <f>C277/3</f>
        <v>163.66666666666666</v>
      </c>
      <c r="E277" s="59">
        <v>163.66999999999999</v>
      </c>
      <c r="F277" s="59">
        <v>163.66999999999999</v>
      </c>
      <c r="G277" s="59"/>
      <c r="H277" s="59">
        <v>163.66999999999999</v>
      </c>
      <c r="I277" s="59"/>
    </row>
    <row r="278" spans="1:9" x14ac:dyDescent="0.2">
      <c r="A278" s="58"/>
      <c r="B278" s="12" t="s">
        <v>183</v>
      </c>
      <c r="C278" s="59">
        <v>362</v>
      </c>
      <c r="D278" s="59">
        <f>C278/4</f>
        <v>90.5</v>
      </c>
      <c r="E278" s="59">
        <v>90.5</v>
      </c>
      <c r="F278" s="59">
        <v>90.5</v>
      </c>
      <c r="G278" s="59"/>
      <c r="H278" s="59">
        <v>90.5</v>
      </c>
      <c r="I278" s="59"/>
    </row>
    <row r="279" spans="1:9" x14ac:dyDescent="0.2">
      <c r="A279" s="58"/>
      <c r="B279" s="12"/>
      <c r="C279" s="59"/>
      <c r="D279" s="59"/>
      <c r="E279" s="59"/>
      <c r="F279" s="59">
        <v>-1132</v>
      </c>
      <c r="G279" s="59"/>
      <c r="H279" s="59"/>
      <c r="I279" s="59"/>
    </row>
    <row r="280" spans="1:9" x14ac:dyDescent="0.2">
      <c r="A280" s="58"/>
      <c r="B280" s="12"/>
      <c r="C280" s="59"/>
      <c r="D280" s="59"/>
      <c r="E280" s="59"/>
      <c r="F280" s="59"/>
      <c r="G280" s="59"/>
      <c r="H280" s="59"/>
      <c r="I280" s="59"/>
    </row>
    <row r="281" spans="1:9" x14ac:dyDescent="0.2">
      <c r="A281" s="58"/>
      <c r="B281" s="12"/>
      <c r="C281" s="59"/>
      <c r="D281" s="59"/>
      <c r="E281" s="59"/>
      <c r="F281" s="59"/>
      <c r="G281" s="59"/>
      <c r="H281" s="59"/>
      <c r="I281" s="59"/>
    </row>
    <row r="282" spans="1:9" x14ac:dyDescent="0.2">
      <c r="A282" s="58"/>
      <c r="B282" s="12"/>
      <c r="C282" s="59"/>
      <c r="D282" s="59"/>
      <c r="E282" s="59"/>
      <c r="F282" s="59"/>
      <c r="G282" s="59"/>
      <c r="H282" s="59"/>
      <c r="I282" s="59"/>
    </row>
    <row r="283" spans="1:9" x14ac:dyDescent="0.2">
      <c r="A283" s="58"/>
      <c r="B283" s="12"/>
      <c r="C283" s="59"/>
      <c r="D283" s="59"/>
      <c r="E283" s="59"/>
      <c r="F283" s="59"/>
      <c r="G283" s="59"/>
      <c r="H283" s="59"/>
      <c r="I283" s="59"/>
    </row>
    <row r="284" spans="1:9" x14ac:dyDescent="0.2">
      <c r="A284" s="58"/>
      <c r="B284" s="12"/>
      <c r="C284" s="59"/>
      <c r="D284" s="59"/>
      <c r="E284" s="59"/>
      <c r="F284" s="59"/>
      <c r="G284" s="59"/>
      <c r="H284" s="59"/>
      <c r="I284" s="59"/>
    </row>
    <row r="285" spans="1:9" x14ac:dyDescent="0.2">
      <c r="A285" s="58"/>
      <c r="B285" s="12"/>
      <c r="C285" s="59"/>
      <c r="D285" s="59"/>
      <c r="E285" s="59"/>
      <c r="F285" s="59"/>
      <c r="G285" s="59"/>
      <c r="H285" s="59"/>
      <c r="I285" s="59"/>
    </row>
    <row r="286" spans="1:9" x14ac:dyDescent="0.2">
      <c r="A286" s="58"/>
      <c r="B286" s="12"/>
      <c r="C286" s="59"/>
      <c r="D286" s="59"/>
      <c r="E286" s="59"/>
      <c r="F286" s="59"/>
      <c r="G286" s="59"/>
      <c r="H286" s="59"/>
      <c r="I286" s="59"/>
    </row>
    <row r="287" spans="1:9" x14ac:dyDescent="0.2">
      <c r="A287" s="58"/>
      <c r="B287" s="12"/>
      <c r="C287" s="59"/>
      <c r="D287" s="59"/>
      <c r="E287" s="59"/>
      <c r="F287" s="59"/>
      <c r="G287" s="59"/>
      <c r="H287" s="59"/>
      <c r="I287" s="59"/>
    </row>
    <row r="288" spans="1:9" x14ac:dyDescent="0.2">
      <c r="A288" s="58"/>
      <c r="B288" s="12"/>
      <c r="C288" s="59"/>
      <c r="D288" s="59"/>
      <c r="E288" s="59"/>
      <c r="F288" s="59"/>
      <c r="G288" s="59"/>
      <c r="H288" s="59"/>
      <c r="I288" s="59"/>
    </row>
    <row r="289" spans="1:9" x14ac:dyDescent="0.2">
      <c r="A289" s="58"/>
      <c r="B289" s="12"/>
      <c r="C289" s="59"/>
      <c r="D289" s="59"/>
      <c r="E289" s="59"/>
      <c r="F289" s="59"/>
      <c r="G289" s="59"/>
      <c r="H289" s="59"/>
      <c r="I289" s="59"/>
    </row>
    <row r="290" spans="1:9" x14ac:dyDescent="0.2">
      <c r="A290" s="58"/>
      <c r="B290" s="12"/>
      <c r="C290" s="59"/>
      <c r="D290" s="59"/>
      <c r="E290" s="59"/>
      <c r="F290" s="59"/>
      <c r="G290" s="59"/>
      <c r="H290" s="59"/>
      <c r="I290" s="59"/>
    </row>
    <row r="291" spans="1:9" x14ac:dyDescent="0.2">
      <c r="A291" s="58"/>
      <c r="B291" s="12"/>
      <c r="C291" s="59"/>
      <c r="D291" s="59"/>
      <c r="E291" s="59"/>
      <c r="F291" s="59"/>
      <c r="G291" s="59"/>
      <c r="H291" s="59"/>
      <c r="I291" s="59"/>
    </row>
    <row r="292" spans="1:9" x14ac:dyDescent="0.2">
      <c r="A292" s="58"/>
      <c r="B292" s="12"/>
      <c r="C292" s="59"/>
      <c r="D292" s="59"/>
      <c r="E292" s="59"/>
      <c r="F292" s="59"/>
      <c r="G292" s="59"/>
      <c r="H292" s="59"/>
      <c r="I292" s="59"/>
    </row>
    <row r="293" spans="1:9" x14ac:dyDescent="0.2">
      <c r="A293" s="58"/>
      <c r="B293" s="12"/>
      <c r="C293" s="59"/>
      <c r="D293" s="59"/>
      <c r="E293" s="59"/>
      <c r="F293" s="59"/>
      <c r="G293" s="59"/>
      <c r="H293" s="59"/>
      <c r="I293" s="59"/>
    </row>
    <row r="294" spans="1:9" x14ac:dyDescent="0.2">
      <c r="A294" s="58"/>
      <c r="B294" s="12"/>
      <c r="C294" s="59"/>
      <c r="D294" s="59"/>
      <c r="E294" s="59"/>
      <c r="F294" s="59"/>
      <c r="G294" s="59"/>
      <c r="H294" s="59"/>
      <c r="I294" s="59"/>
    </row>
    <row r="295" spans="1:9" x14ac:dyDescent="0.2">
      <c r="A295" s="58"/>
      <c r="B295" s="12"/>
      <c r="C295" s="59"/>
      <c r="D295" s="59"/>
      <c r="E295" s="59"/>
      <c r="F295" s="59"/>
      <c r="G295" s="59"/>
      <c r="H295" s="59"/>
      <c r="I295" s="59"/>
    </row>
    <row r="296" spans="1:9" x14ac:dyDescent="0.2">
      <c r="A296" s="58"/>
      <c r="B296" s="12"/>
      <c r="C296" s="59"/>
      <c r="D296" s="59"/>
      <c r="E296" s="59"/>
      <c r="F296" s="59"/>
      <c r="G296" s="59"/>
      <c r="H296" s="59"/>
      <c r="I296" s="59"/>
    </row>
    <row r="297" spans="1:9" x14ac:dyDescent="0.2">
      <c r="A297" s="58"/>
      <c r="B297" s="12"/>
      <c r="C297" s="59"/>
      <c r="D297" s="59"/>
      <c r="E297" s="59"/>
      <c r="F297" s="59"/>
      <c r="G297" s="59"/>
      <c r="H297" s="59"/>
      <c r="I297" s="59"/>
    </row>
    <row r="298" spans="1:9" x14ac:dyDescent="0.2">
      <c r="A298" s="58"/>
      <c r="B298" s="12"/>
      <c r="C298" s="59"/>
      <c r="D298" s="59"/>
      <c r="E298" s="59"/>
      <c r="F298" s="59"/>
      <c r="G298" s="59"/>
      <c r="H298" s="59"/>
      <c r="I298" s="59"/>
    </row>
    <row r="299" spans="1:9" x14ac:dyDescent="0.2">
      <c r="A299" s="58"/>
      <c r="B299" s="12"/>
      <c r="C299" s="59"/>
      <c r="D299" s="59"/>
      <c r="E299" s="59"/>
      <c r="F299" s="59"/>
      <c r="G299" s="59"/>
      <c r="H299" s="59"/>
      <c r="I299" s="59"/>
    </row>
    <row r="300" spans="1:9" x14ac:dyDescent="0.2">
      <c r="A300" s="58"/>
      <c r="B300" s="12"/>
      <c r="C300" s="59"/>
      <c r="D300" s="59"/>
      <c r="E300" s="59"/>
      <c r="F300" s="59"/>
      <c r="G300" s="59"/>
      <c r="H300" s="59"/>
      <c r="I300" s="59"/>
    </row>
    <row r="301" spans="1:9" x14ac:dyDescent="0.2">
      <c r="A301" s="58"/>
      <c r="B301" s="12"/>
      <c r="C301" s="59"/>
      <c r="D301" s="59"/>
      <c r="E301" s="59"/>
      <c r="F301" s="59"/>
      <c r="G301" s="59"/>
      <c r="H301" s="59"/>
      <c r="I301" s="59"/>
    </row>
    <row r="302" spans="1:9" x14ac:dyDescent="0.2">
      <c r="A302" s="58"/>
      <c r="B302" s="12"/>
      <c r="C302" s="59"/>
      <c r="D302" s="59"/>
      <c r="E302" s="59"/>
      <c r="F302" s="59"/>
      <c r="G302" s="59"/>
      <c r="H302" s="59"/>
      <c r="I302" s="59"/>
    </row>
    <row r="303" spans="1:9" x14ac:dyDescent="0.2">
      <c r="A303" s="58"/>
      <c r="B303" s="12"/>
      <c r="C303" s="59"/>
      <c r="D303" s="59"/>
      <c r="E303" s="59"/>
      <c r="F303" s="59"/>
      <c r="G303" s="59"/>
      <c r="H303" s="59"/>
      <c r="I303" s="59"/>
    </row>
    <row r="304" spans="1:9" x14ac:dyDescent="0.2">
      <c r="A304" s="58"/>
      <c r="B304" s="12"/>
      <c r="C304" s="59"/>
      <c r="D304" s="59"/>
      <c r="E304" s="59"/>
      <c r="F304" s="59"/>
      <c r="G304" s="59"/>
      <c r="H304" s="59"/>
      <c r="I304" s="59"/>
    </row>
  </sheetData>
  <sortState xmlns:xlrd2="http://schemas.microsoft.com/office/spreadsheetml/2017/richdata2" ref="O52:P58">
    <sortCondition ref="P52:P58"/>
  </sortState>
  <mergeCells count="3">
    <mergeCell ref="O67:P67"/>
    <mergeCell ref="R67:S67"/>
    <mergeCell ref="B112:B113"/>
  </mergeCells>
  <pageMargins left="0.7" right="0.7" top="0.75" bottom="0.75" header="0.3" footer="0.3"/>
  <pageSetup orientation="portrait" r:id="rId1"/>
  <ignoredErrors>
    <ignoredError sqref="D174 D26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880C-0B6B-4863-BD68-C317EA77ECE9}">
  <dimension ref="A1:ES117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K11" sqref="CK11"/>
    </sheetView>
  </sheetViews>
  <sheetFormatPr defaultColWidth="9.140625" defaultRowHeight="12.75" x14ac:dyDescent="0.2"/>
  <cols>
    <col min="1" max="1" width="43" style="2" bestFit="1" customWidth="1"/>
    <col min="2" max="2" width="7.5703125" style="2" bestFit="1" customWidth="1"/>
    <col min="3" max="3" width="9.28515625" style="2" bestFit="1" customWidth="1"/>
    <col min="4" max="9" width="11" style="2" hidden="1" customWidth="1"/>
    <col min="10" max="10" width="9.7109375" style="2" hidden="1" customWidth="1"/>
    <col min="11" max="11" width="12.140625" style="2" hidden="1" customWidth="1"/>
    <col min="12" max="12" width="9.5703125" style="2" hidden="1" customWidth="1"/>
    <col min="13" max="22" width="11" style="2" hidden="1" customWidth="1"/>
    <col min="23" max="23" width="12.140625" style="2" hidden="1" customWidth="1"/>
    <col min="24" max="24" width="11" style="2" hidden="1" customWidth="1"/>
    <col min="25" max="25" width="20.5703125" style="2" hidden="1" customWidth="1"/>
    <col min="26" max="27" width="11" style="2" hidden="1" customWidth="1"/>
    <col min="28" max="28" width="13.5703125" style="2" hidden="1" customWidth="1"/>
    <col min="29" max="34" width="11" style="2" hidden="1" customWidth="1"/>
    <col min="35" max="35" width="12.140625" style="2" hidden="1" customWidth="1"/>
    <col min="36" max="47" width="11" style="2" hidden="1" customWidth="1"/>
    <col min="48" max="51" width="10.140625" style="2" hidden="1" customWidth="1"/>
    <col min="52" max="67" width="11" style="2" hidden="1" customWidth="1"/>
    <col min="68" max="69" width="9.140625" style="2" hidden="1" customWidth="1"/>
    <col min="70" max="73" width="0" style="2" hidden="1" customWidth="1"/>
    <col min="74" max="74" width="9.42578125" style="2" hidden="1" customWidth="1"/>
    <col min="75" max="76" width="0" style="2" hidden="1" customWidth="1"/>
    <col min="77" max="77" width="11.140625" style="2" hidden="1" customWidth="1"/>
    <col min="78" max="79" width="9.42578125" style="2" bestFit="1" customWidth="1"/>
    <col min="80" max="82" width="9.140625" style="2"/>
    <col min="83" max="83" width="9.5703125" style="2" bestFit="1" customWidth="1"/>
    <col min="84" max="91" width="9.140625" style="2"/>
    <col min="92" max="92" width="3.85546875" style="2" bestFit="1" customWidth="1"/>
    <col min="93" max="93" width="9.140625" style="2"/>
    <col min="94" max="94" width="9.7109375" style="2" bestFit="1" customWidth="1"/>
    <col min="95" max="16384" width="9.140625" style="2"/>
  </cols>
  <sheetData>
    <row r="1" spans="1:98" ht="28.5" customHeight="1" x14ac:dyDescent="0.2">
      <c r="A1" s="242" t="s">
        <v>327</v>
      </c>
      <c r="B1" s="242"/>
      <c r="C1" s="230" t="s">
        <v>328</v>
      </c>
      <c r="D1" s="231">
        <v>42842</v>
      </c>
      <c r="E1" s="231">
        <v>42872</v>
      </c>
      <c r="F1" s="231">
        <v>42903</v>
      </c>
      <c r="G1" s="231">
        <v>42933</v>
      </c>
      <c r="H1" s="231">
        <v>42964</v>
      </c>
      <c r="I1" s="231">
        <v>42995</v>
      </c>
      <c r="J1" s="231">
        <v>43025</v>
      </c>
      <c r="K1" s="231">
        <v>43056</v>
      </c>
      <c r="L1" s="231">
        <v>43086</v>
      </c>
      <c r="M1" s="231">
        <v>43117</v>
      </c>
      <c r="N1" s="231">
        <v>43148</v>
      </c>
      <c r="O1" s="231">
        <v>43176</v>
      </c>
      <c r="P1" s="231">
        <v>43207</v>
      </c>
      <c r="Q1" s="231">
        <v>43237</v>
      </c>
      <c r="R1" s="231">
        <v>43268</v>
      </c>
      <c r="S1" s="231">
        <v>43298</v>
      </c>
      <c r="T1" s="231">
        <v>43329</v>
      </c>
      <c r="U1" s="231">
        <v>43360</v>
      </c>
      <c r="V1" s="231">
        <v>43390</v>
      </c>
      <c r="W1" s="231">
        <v>43421</v>
      </c>
      <c r="X1" s="231">
        <v>43451</v>
      </c>
      <c r="Y1" s="231">
        <v>43482</v>
      </c>
      <c r="Z1" s="231">
        <v>43513</v>
      </c>
      <c r="AA1" s="231">
        <v>43541</v>
      </c>
      <c r="AB1" s="231">
        <v>43572</v>
      </c>
      <c r="AC1" s="231">
        <v>43602</v>
      </c>
      <c r="AD1" s="231">
        <v>43633</v>
      </c>
      <c r="AE1" s="231">
        <v>43663</v>
      </c>
      <c r="AF1" s="231">
        <v>43694</v>
      </c>
      <c r="AG1" s="231">
        <v>43725</v>
      </c>
      <c r="AH1" s="231">
        <v>43755</v>
      </c>
      <c r="AI1" s="231">
        <v>43786</v>
      </c>
      <c r="AJ1" s="231">
        <v>43816</v>
      </c>
      <c r="AK1" s="231">
        <v>43847</v>
      </c>
      <c r="AL1" s="231">
        <v>43878</v>
      </c>
      <c r="AM1" s="231">
        <v>43907</v>
      </c>
      <c r="AN1" s="231">
        <v>43938</v>
      </c>
      <c r="AO1" s="231">
        <v>43968</v>
      </c>
      <c r="AP1" s="231">
        <v>43999</v>
      </c>
      <c r="AQ1" s="231">
        <v>44029</v>
      </c>
      <c r="AR1" s="231">
        <v>44060</v>
      </c>
      <c r="AS1" s="231">
        <v>44091</v>
      </c>
      <c r="AT1" s="231">
        <v>44121</v>
      </c>
      <c r="AU1" s="231">
        <v>44152</v>
      </c>
      <c r="AV1" s="231">
        <v>44182</v>
      </c>
      <c r="AW1" s="231">
        <v>44213</v>
      </c>
      <c r="AX1" s="231">
        <v>44244</v>
      </c>
      <c r="AY1" s="231">
        <v>44272</v>
      </c>
      <c r="AZ1" s="231">
        <v>44303</v>
      </c>
      <c r="BA1" s="231">
        <v>44333</v>
      </c>
      <c r="BB1" s="231">
        <v>44364</v>
      </c>
      <c r="BC1" s="231">
        <v>44394</v>
      </c>
      <c r="BD1" s="231">
        <v>44425</v>
      </c>
      <c r="BE1" s="231">
        <v>44456</v>
      </c>
      <c r="BF1" s="231">
        <v>44486</v>
      </c>
      <c r="BG1" s="231">
        <v>44517</v>
      </c>
      <c r="BH1" s="231">
        <v>44547</v>
      </c>
      <c r="BI1" s="231">
        <v>44578</v>
      </c>
      <c r="BJ1" s="231">
        <v>44609</v>
      </c>
      <c r="BK1" s="231">
        <v>44637</v>
      </c>
      <c r="BL1" s="231">
        <v>44668</v>
      </c>
      <c r="BM1" s="231">
        <v>44698</v>
      </c>
      <c r="BN1" s="231">
        <v>44729</v>
      </c>
      <c r="BO1" s="231">
        <v>44759</v>
      </c>
      <c r="BP1" s="231">
        <v>44790</v>
      </c>
      <c r="BQ1" s="231">
        <v>44821</v>
      </c>
      <c r="BR1" s="231">
        <v>44851</v>
      </c>
      <c r="BS1" s="231">
        <v>44882</v>
      </c>
      <c r="BT1" s="231">
        <v>44912</v>
      </c>
      <c r="BU1" s="231">
        <v>44943</v>
      </c>
      <c r="BV1" s="231">
        <v>44974</v>
      </c>
      <c r="BW1" s="441">
        <v>45002</v>
      </c>
      <c r="BX1" s="231">
        <v>45033</v>
      </c>
      <c r="BY1" s="231">
        <v>45063</v>
      </c>
      <c r="BZ1" s="231">
        <v>45094</v>
      </c>
      <c r="CA1" s="231">
        <v>45124</v>
      </c>
      <c r="CB1" s="231">
        <v>45155</v>
      </c>
      <c r="CC1" s="231">
        <v>45186</v>
      </c>
      <c r="CD1" s="231">
        <v>45216</v>
      </c>
      <c r="CE1" s="231">
        <v>45247</v>
      </c>
      <c r="CF1" s="231">
        <v>45277</v>
      </c>
      <c r="CG1" s="231">
        <v>45308</v>
      </c>
      <c r="CH1" s="231">
        <v>45339</v>
      </c>
      <c r="CI1" s="231">
        <v>45368</v>
      </c>
      <c r="CJ1" s="231">
        <v>45399</v>
      </c>
      <c r="CK1" s="231">
        <v>45429</v>
      </c>
      <c r="CM1" s="2" t="s">
        <v>329</v>
      </c>
      <c r="CQ1" s="2" t="s">
        <v>385</v>
      </c>
    </row>
    <row r="2" spans="1:98" x14ac:dyDescent="0.2">
      <c r="A2" s="235" t="s">
        <v>436</v>
      </c>
      <c r="B2" s="235" t="s">
        <v>330</v>
      </c>
      <c r="C2" s="235">
        <v>7</v>
      </c>
      <c r="D2" s="13">
        <v>0</v>
      </c>
      <c r="E2" s="233">
        <v>0</v>
      </c>
      <c r="F2" s="236">
        <v>0</v>
      </c>
      <c r="G2" s="236">
        <v>0</v>
      </c>
      <c r="H2" s="4">
        <v>0</v>
      </c>
      <c r="I2" s="4">
        <v>0</v>
      </c>
      <c r="J2" s="4">
        <v>0</v>
      </c>
      <c r="K2" s="4">
        <v>0</v>
      </c>
      <c r="L2" s="4"/>
      <c r="M2" s="4">
        <v>0</v>
      </c>
      <c r="N2" s="4">
        <v>0</v>
      </c>
      <c r="O2" s="4">
        <v>0</v>
      </c>
      <c r="P2" s="4"/>
      <c r="Q2" s="4"/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 t="e">
        <f>-'My CCs'!#REF!</f>
        <v>#REF!</v>
      </c>
      <c r="AZ2" s="4"/>
      <c r="BA2" s="4"/>
      <c r="BB2" s="4"/>
      <c r="BC2" s="4"/>
      <c r="BD2" s="4"/>
      <c r="BE2" s="4"/>
      <c r="BF2" s="4"/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 t="e">
        <f>-'My CCs'!#REF!</f>
        <v>#REF!</v>
      </c>
      <c r="BO2" s="4" t="e">
        <f>-'My CCs'!#REF!</f>
        <v>#REF!</v>
      </c>
      <c r="BP2" s="4" t="e">
        <f>-'My CCs'!#REF!</f>
        <v>#REF!</v>
      </c>
      <c r="BQ2" s="4" t="e">
        <f>-'My CCs'!#REF!</f>
        <v>#REF!</v>
      </c>
      <c r="BR2" s="4" t="e">
        <f>-'My CCs'!#REF!</f>
        <v>#REF!</v>
      </c>
      <c r="BS2" s="4" t="e">
        <f>-'My CCs'!#REF!</f>
        <v>#REF!</v>
      </c>
      <c r="BT2" s="4" t="e">
        <f>-'My CCs'!#REF!</f>
        <v>#REF!</v>
      </c>
      <c r="BU2" s="4">
        <v>0</v>
      </c>
      <c r="BV2" s="4">
        <v>0</v>
      </c>
      <c r="BW2" s="442">
        <v>0</v>
      </c>
      <c r="BX2" s="4" t="e">
        <f>-'My CCs'!#REF!</f>
        <v>#REF!</v>
      </c>
      <c r="BY2" s="4" t="e">
        <f>-'My CCs'!#REF!</f>
        <v>#REF!</v>
      </c>
      <c r="BZ2" s="4" t="e">
        <f>-'My CCs'!#REF!</f>
        <v>#REF!</v>
      </c>
      <c r="CA2" s="4" t="e">
        <f>-'My CCs'!#REF!</f>
        <v>#REF!</v>
      </c>
      <c r="CB2" s="4" t="e">
        <f>-'My CCs'!#REF!</f>
        <v>#REF!</v>
      </c>
      <c r="CC2" s="4" t="e">
        <f>-'My CCs'!#REF!</f>
        <v>#REF!</v>
      </c>
      <c r="CD2" s="4" t="e">
        <f>-'My CCs'!#REF!</f>
        <v>#REF!</v>
      </c>
      <c r="CE2" s="4" t="e">
        <f>-'My CCs'!#REF!</f>
        <v>#REF!</v>
      </c>
      <c r="CF2" s="4" t="e">
        <f>-'My CCs'!#REF!</f>
        <v>#REF!</v>
      </c>
      <c r="CG2" s="4" t="e">
        <f>-'My CCs'!#REF!</f>
        <v>#REF!</v>
      </c>
      <c r="CH2" s="4" t="e">
        <f>-'My CCs'!#REF!</f>
        <v>#REF!</v>
      </c>
      <c r="CI2" s="4" t="e">
        <f>-'My CCs'!#REF!</f>
        <v>#REF!</v>
      </c>
      <c r="CJ2" s="4" t="e">
        <f>-'My CCs'!#REF!</f>
        <v>#REF!</v>
      </c>
      <c r="CK2" s="4" t="e">
        <f>-'My CCs'!#REF!</f>
        <v>#REF!</v>
      </c>
      <c r="CO2" s="2" t="s">
        <v>437</v>
      </c>
      <c r="CQ2" s="2">
        <v>700000</v>
      </c>
    </row>
    <row r="3" spans="1:98" x14ac:dyDescent="0.2">
      <c r="A3" s="235" t="s">
        <v>438</v>
      </c>
      <c r="B3" s="235" t="s">
        <v>330</v>
      </c>
      <c r="C3" s="235">
        <v>12</v>
      </c>
      <c r="D3" s="13"/>
      <c r="E3" s="233"/>
      <c r="F3" s="236"/>
      <c r="G3" s="23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 t="e">
        <f>-'My CCs'!#REF!</f>
        <v>#REF!</v>
      </c>
      <c r="BQ3" s="4">
        <v>0</v>
      </c>
      <c r="BR3" s="4" t="e">
        <f>-'My CCs'!#REF!</f>
        <v>#REF!</v>
      </c>
      <c r="BS3" s="4" t="e">
        <f>-'My CCs'!#REF!</f>
        <v>#REF!</v>
      </c>
      <c r="BT3" s="4" t="e">
        <f>-'My CCs'!#REF!</f>
        <v>#REF!</v>
      </c>
      <c r="BU3" s="4">
        <v>0</v>
      </c>
      <c r="BV3" s="4">
        <v>0</v>
      </c>
      <c r="BW3" s="442">
        <v>0</v>
      </c>
      <c r="BX3" s="4">
        <v>0</v>
      </c>
      <c r="BY3" s="4">
        <v>0</v>
      </c>
      <c r="BZ3" s="4">
        <v>0</v>
      </c>
      <c r="CA3" s="4">
        <v>-30296</v>
      </c>
      <c r="CB3" s="4" t="e">
        <f>-'My CCs'!#REF!</f>
        <v>#REF!</v>
      </c>
      <c r="CC3" s="4" t="e">
        <f>-'My CCs'!#REF!</f>
        <v>#REF!</v>
      </c>
      <c r="CD3" s="4" t="e">
        <f>-'My CCs'!#REF!</f>
        <v>#REF!</v>
      </c>
      <c r="CE3" s="4" t="e">
        <f>-'My CCs'!#REF!</f>
        <v>#REF!</v>
      </c>
      <c r="CF3" s="4" t="e">
        <f>-'My CCs'!#REF!</f>
        <v>#REF!</v>
      </c>
      <c r="CG3" s="4" t="e">
        <f>-'My CCs'!#REF!</f>
        <v>#REF!</v>
      </c>
      <c r="CH3" s="4" t="e">
        <f>-'My CCs'!#REF!</f>
        <v>#REF!</v>
      </c>
      <c r="CI3" s="4" t="e">
        <f>-'My CCs'!#REF!</f>
        <v>#REF!</v>
      </c>
      <c r="CJ3" s="4" t="e">
        <f>-'My CCs'!#REF!</f>
        <v>#REF!</v>
      </c>
      <c r="CK3" s="4" t="e">
        <f>-'My CCs'!#REF!</f>
        <v>#REF!</v>
      </c>
      <c r="CM3" s="2">
        <v>0</v>
      </c>
      <c r="CO3" s="2" t="s">
        <v>439</v>
      </c>
      <c r="CQ3" s="2">
        <v>-13600</v>
      </c>
    </row>
    <row r="4" spans="1:98" x14ac:dyDescent="0.2">
      <c r="A4" s="235" t="s">
        <v>331</v>
      </c>
      <c r="B4" s="235" t="s">
        <v>330</v>
      </c>
      <c r="C4" s="235">
        <v>4</v>
      </c>
      <c r="D4" s="13">
        <v>0</v>
      </c>
      <c r="E4" s="233">
        <v>0</v>
      </c>
      <c r="F4" s="236">
        <v>0</v>
      </c>
      <c r="G4" s="236">
        <v>0</v>
      </c>
      <c r="H4" s="4">
        <v>0</v>
      </c>
      <c r="I4" s="4">
        <v>0</v>
      </c>
      <c r="J4" s="4">
        <v>0</v>
      </c>
      <c r="K4" s="4">
        <v>0</v>
      </c>
      <c r="L4" s="4"/>
      <c r="M4" s="4">
        <v>0</v>
      </c>
      <c r="N4" s="4">
        <v>0</v>
      </c>
      <c r="O4" s="4">
        <v>0</v>
      </c>
      <c r="P4" s="4"/>
      <c r="Q4" s="4"/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/>
      <c r="AK4" s="4"/>
      <c r="AL4" s="4"/>
      <c r="AM4" s="4"/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/>
      <c r="BB4" s="4"/>
      <c r="BC4" s="4"/>
      <c r="BD4" s="4"/>
      <c r="BE4" s="4"/>
      <c r="BF4" s="4"/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f>-'My CCs'!$N$2</f>
        <v>0</v>
      </c>
      <c r="BP4" s="4">
        <f>-'My CCs'!$N$2</f>
        <v>0</v>
      </c>
      <c r="BQ4" s="4">
        <v>0</v>
      </c>
      <c r="BR4" s="4">
        <f>-'My CCs'!$N$2</f>
        <v>0</v>
      </c>
      <c r="BS4" s="4">
        <f>-'My CCs'!$N$2</f>
        <v>0</v>
      </c>
      <c r="BT4" s="4">
        <f>-'My CCs'!$N$2</f>
        <v>0</v>
      </c>
      <c r="BU4" s="4">
        <v>0</v>
      </c>
      <c r="BV4" s="4">
        <v>0</v>
      </c>
      <c r="BW4" s="442">
        <v>0</v>
      </c>
      <c r="BX4" s="4">
        <v>0</v>
      </c>
      <c r="BY4" s="4">
        <v>0</v>
      </c>
      <c r="BZ4" s="4">
        <v>0</v>
      </c>
      <c r="CA4" s="4">
        <f>-'My CCs'!$N$2</f>
        <v>0</v>
      </c>
      <c r="CB4" s="4">
        <f>-'My CCs'!$N$2</f>
        <v>0</v>
      </c>
      <c r="CC4" s="4">
        <f>-'My CCs'!$N$2</f>
        <v>0</v>
      </c>
      <c r="CD4" s="4">
        <f>-'My CCs'!$N$2</f>
        <v>0</v>
      </c>
      <c r="CE4" s="4">
        <f>-'My CCs'!$N$2</f>
        <v>0</v>
      </c>
      <c r="CF4" s="4">
        <f>-'My CCs'!$N$2</f>
        <v>0</v>
      </c>
      <c r="CG4" s="4">
        <f>-'My CCs'!$N$2</f>
        <v>0</v>
      </c>
      <c r="CH4" s="4">
        <f>-'My CCs'!$N$2</f>
        <v>0</v>
      </c>
      <c r="CI4" s="4">
        <f>-'My CCs'!$N$2</f>
        <v>0</v>
      </c>
      <c r="CJ4" s="4">
        <f>-'My CCs'!$N$2</f>
        <v>0</v>
      </c>
      <c r="CK4" s="4">
        <f>-'My CCs'!$N$2</f>
        <v>0</v>
      </c>
      <c r="CO4" s="2" t="s">
        <v>270</v>
      </c>
      <c r="CQ4" s="2">
        <v>-200000</v>
      </c>
    </row>
    <row r="5" spans="1:98" x14ac:dyDescent="0.2">
      <c r="A5" s="235" t="s">
        <v>440</v>
      </c>
      <c r="B5" s="235" t="s">
        <v>330</v>
      </c>
      <c r="C5" s="235">
        <v>30</v>
      </c>
      <c r="D5" s="4"/>
      <c r="E5" s="233"/>
      <c r="F5" s="236"/>
      <c r="G5" s="23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42">
        <v>0</v>
      </c>
      <c r="BX5" s="4">
        <f>-'My CCs'!$N$3</f>
        <v>0</v>
      </c>
      <c r="BY5" s="4">
        <f>-'My CCs'!$N$3</f>
        <v>0</v>
      </c>
      <c r="BZ5" s="4">
        <f>-'My CCs'!$N$3</f>
        <v>0</v>
      </c>
      <c r="CA5" s="4">
        <f>-'My CCs'!$N$3</f>
        <v>0</v>
      </c>
      <c r="CB5" s="4">
        <f>-'My CCs'!$N$3</f>
        <v>0</v>
      </c>
      <c r="CC5" s="4">
        <f>-'My CCs'!$N$3</f>
        <v>0</v>
      </c>
      <c r="CD5" s="4">
        <f>-'My CCs'!$N$3</f>
        <v>0</v>
      </c>
      <c r="CE5" s="4">
        <f>-'My CCs'!$N$3</f>
        <v>0</v>
      </c>
      <c r="CF5" s="4">
        <f>-'My CCs'!$N$3</f>
        <v>0</v>
      </c>
      <c r="CG5" s="4">
        <f>-'My CCs'!$N$3</f>
        <v>0</v>
      </c>
      <c r="CH5" s="4">
        <f>-'My CCs'!$N$3</f>
        <v>0</v>
      </c>
      <c r="CI5" s="4">
        <f>-'My CCs'!$N$3</f>
        <v>0</v>
      </c>
      <c r="CJ5" s="4">
        <f>-'My CCs'!$N$3</f>
        <v>0</v>
      </c>
      <c r="CK5" s="4">
        <f>-'My CCs'!$N$3</f>
        <v>0</v>
      </c>
      <c r="CO5" s="2" t="s">
        <v>42</v>
      </c>
      <c r="CQ5" s="2">
        <v>-100000</v>
      </c>
    </row>
    <row r="6" spans="1:98" x14ac:dyDescent="0.2">
      <c r="A6" s="235" t="s">
        <v>332</v>
      </c>
      <c r="B6" s="235" t="s">
        <v>330</v>
      </c>
      <c r="C6" s="235">
        <v>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>
        <v>0</v>
      </c>
      <c r="AB6" s="4">
        <v>0</v>
      </c>
      <c r="AC6" s="4">
        <v>0</v>
      </c>
      <c r="AD6" s="4"/>
      <c r="AE6" s="4"/>
      <c r="AF6" s="4">
        <v>0</v>
      </c>
      <c r="AG6" s="4"/>
      <c r="AH6" s="4">
        <v>0</v>
      </c>
      <c r="AI6" s="4"/>
      <c r="AJ6" s="4">
        <v>0</v>
      </c>
      <c r="AK6" s="4">
        <v>0</v>
      </c>
      <c r="AL6" s="4">
        <v>0</v>
      </c>
      <c r="AM6" s="4">
        <v>0</v>
      </c>
      <c r="AN6" s="4"/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/>
      <c r="BA6" s="4"/>
      <c r="BB6" s="4"/>
      <c r="BC6" s="4"/>
      <c r="BD6" s="4"/>
      <c r="BE6" s="4"/>
      <c r="BF6" s="4"/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f>-'My CCs'!$N$4</f>
        <v>-796.09</v>
      </c>
      <c r="BQ6" s="4">
        <v>0</v>
      </c>
      <c r="BR6" s="4">
        <f>-'My CCs'!$N$4</f>
        <v>-796.09</v>
      </c>
      <c r="BS6" s="4">
        <f>-'My CCs'!$N$4</f>
        <v>-796.09</v>
      </c>
      <c r="BT6" s="4">
        <f>-'My CCs'!$N$4</f>
        <v>-796.09</v>
      </c>
      <c r="BU6" s="4">
        <v>0</v>
      </c>
      <c r="BV6" s="4">
        <v>0</v>
      </c>
      <c r="BW6" s="442">
        <v>0</v>
      </c>
      <c r="BX6" s="442">
        <v>0</v>
      </c>
      <c r="BY6" s="442">
        <v>0</v>
      </c>
      <c r="BZ6" s="442">
        <v>0</v>
      </c>
      <c r="CA6" s="442">
        <f>-'My CCs'!$N$4</f>
        <v>-796.09</v>
      </c>
      <c r="CB6" s="442">
        <f>-'My CCs'!$N$4</f>
        <v>-796.09</v>
      </c>
      <c r="CC6" s="442">
        <f>-'My CCs'!$N$4</f>
        <v>-796.09</v>
      </c>
      <c r="CD6" s="442">
        <f>-'My CCs'!$N$4</f>
        <v>-796.09</v>
      </c>
      <c r="CE6" s="442">
        <f>-'My CCs'!$N$4</f>
        <v>-796.09</v>
      </c>
      <c r="CF6" s="442">
        <f>-'My CCs'!$N$4</f>
        <v>-796.09</v>
      </c>
      <c r="CG6" s="442">
        <f>-'My CCs'!$N$4</f>
        <v>-796.09</v>
      </c>
      <c r="CH6" s="442">
        <f>-'My CCs'!$N$4</f>
        <v>-796.09</v>
      </c>
      <c r="CI6" s="442">
        <f>-'My CCs'!$N$4</f>
        <v>-796.09</v>
      </c>
      <c r="CJ6" s="442">
        <f>-'My CCs'!$N$4</f>
        <v>-796.09</v>
      </c>
      <c r="CK6" s="442">
        <f>-'My CCs'!$N$4</f>
        <v>-796.09</v>
      </c>
      <c r="CM6" s="2">
        <v>33</v>
      </c>
      <c r="CO6" s="2" t="s">
        <v>42</v>
      </c>
      <c r="CQ6" s="2">
        <v>-200000</v>
      </c>
    </row>
    <row r="7" spans="1:98" x14ac:dyDescent="0.2">
      <c r="A7" s="235" t="s">
        <v>441</v>
      </c>
      <c r="B7" s="235" t="s">
        <v>330</v>
      </c>
      <c r="C7" s="235">
        <v>23</v>
      </c>
      <c r="D7" s="4">
        <v>0</v>
      </c>
      <c r="E7" s="233">
        <v>0</v>
      </c>
      <c r="F7" s="236">
        <v>0</v>
      </c>
      <c r="G7" s="236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/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/>
      <c r="X7" s="4">
        <v>0</v>
      </c>
      <c r="Y7" s="4">
        <v>0</v>
      </c>
      <c r="Z7" s="4"/>
      <c r="AA7" s="4">
        <v>0</v>
      </c>
      <c r="AB7" s="4">
        <v>0</v>
      </c>
      <c r="AC7" s="4">
        <v>0</v>
      </c>
      <c r="AD7" s="4"/>
      <c r="AE7" s="4">
        <v>0</v>
      </c>
      <c r="AF7" s="4">
        <v>0</v>
      </c>
      <c r="AG7" s="4">
        <v>0</v>
      </c>
      <c r="AH7" s="4">
        <v>0</v>
      </c>
      <c r="AI7" s="4"/>
      <c r="AJ7" s="4">
        <v>0</v>
      </c>
      <c r="AK7" s="4"/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/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/>
      <c r="BB7" s="4"/>
      <c r="BC7" s="4"/>
      <c r="BD7" s="4"/>
      <c r="BE7" s="4"/>
      <c r="BF7" s="4"/>
      <c r="BG7" s="4">
        <v>0</v>
      </c>
      <c r="BH7" s="4">
        <v>0</v>
      </c>
      <c r="BI7" s="4">
        <v>0</v>
      </c>
      <c r="BJ7" s="4">
        <v>0</v>
      </c>
      <c r="BK7" s="4" t="e">
        <f>-'My CCs'!#REF!</f>
        <v>#REF!</v>
      </c>
      <c r="BL7" s="4">
        <v>0</v>
      </c>
      <c r="BM7" s="4">
        <v>0</v>
      </c>
      <c r="BN7" s="4" t="e">
        <f>-'My CCs'!#REF!</f>
        <v>#REF!</v>
      </c>
      <c r="BO7" s="4" t="e">
        <f>-'My CCs'!#REF!</f>
        <v>#REF!</v>
      </c>
      <c r="BP7" s="4" t="e">
        <f>-'My CCs'!#REF!</f>
        <v>#REF!</v>
      </c>
      <c r="BQ7" s="4">
        <v>0</v>
      </c>
      <c r="BR7" s="4" t="e">
        <f>-'My CCs'!#REF!</f>
        <v>#REF!</v>
      </c>
      <c r="BS7" s="4" t="e">
        <f>-'My CCs'!#REF!</f>
        <v>#REF!</v>
      </c>
      <c r="BT7" s="4" t="e">
        <f>-'My CCs'!#REF!</f>
        <v>#REF!</v>
      </c>
      <c r="BU7" s="4">
        <v>0</v>
      </c>
      <c r="BV7" s="4">
        <v>0</v>
      </c>
      <c r="BW7" s="442">
        <v>0</v>
      </c>
      <c r="BX7" s="4">
        <v>0</v>
      </c>
      <c r="BY7" s="4">
        <v>0</v>
      </c>
      <c r="BZ7" s="4">
        <v>0</v>
      </c>
      <c r="CA7" s="4" t="e">
        <f>-'My CCs'!#REF!</f>
        <v>#REF!</v>
      </c>
      <c r="CB7" s="4" t="e">
        <f>-'My CCs'!#REF!</f>
        <v>#REF!</v>
      </c>
      <c r="CC7" s="4" t="e">
        <f>-'My CCs'!#REF!</f>
        <v>#REF!</v>
      </c>
      <c r="CD7" s="4" t="e">
        <f>-'My CCs'!#REF!</f>
        <v>#REF!</v>
      </c>
      <c r="CE7" s="4" t="e">
        <f>-'My CCs'!#REF!</f>
        <v>#REF!</v>
      </c>
      <c r="CF7" s="4" t="e">
        <f>-'My CCs'!#REF!</f>
        <v>#REF!</v>
      </c>
      <c r="CG7" s="4" t="e">
        <f>-'My CCs'!#REF!</f>
        <v>#REF!</v>
      </c>
      <c r="CH7" s="4" t="e">
        <f>-'My CCs'!#REF!</f>
        <v>#REF!</v>
      </c>
      <c r="CI7" s="4" t="e">
        <f>-'My CCs'!#REF!</f>
        <v>#REF!</v>
      </c>
      <c r="CJ7" s="4" t="e">
        <f>-'My CCs'!#REF!</f>
        <v>#REF!</v>
      </c>
      <c r="CK7" s="4" t="e">
        <f>-'My CCs'!#REF!</f>
        <v>#REF!</v>
      </c>
      <c r="CM7" s="2" t="s">
        <v>442</v>
      </c>
      <c r="CO7" s="2" t="s">
        <v>42</v>
      </c>
      <c r="CQ7" s="2">
        <v>-150000</v>
      </c>
    </row>
    <row r="8" spans="1:98" x14ac:dyDescent="0.2">
      <c r="A8" s="235" t="s">
        <v>333</v>
      </c>
      <c r="B8" s="235" t="s">
        <v>330</v>
      </c>
      <c r="C8" s="235">
        <v>30</v>
      </c>
      <c r="D8" s="4"/>
      <c r="E8" s="4"/>
      <c r="F8" s="4"/>
      <c r="G8" s="4"/>
      <c r="H8" s="4">
        <v>0</v>
      </c>
      <c r="I8" s="4">
        <v>0</v>
      </c>
      <c r="J8" s="4"/>
      <c r="K8" s="4">
        <v>0</v>
      </c>
      <c r="L8" s="4">
        <v>0</v>
      </c>
      <c r="M8" s="4">
        <v>0</v>
      </c>
      <c r="N8" s="4">
        <v>0</v>
      </c>
      <c r="O8" s="4">
        <v>0</v>
      </c>
      <c r="P8" s="4"/>
      <c r="Q8" s="4"/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/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/>
      <c r="AL8" s="4"/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/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f>-'My CCs'!$N$6</f>
        <v>0</v>
      </c>
      <c r="AZ8" s="4"/>
      <c r="BA8" s="4"/>
      <c r="BB8" s="4"/>
      <c r="BC8" s="4"/>
      <c r="BD8" s="4"/>
      <c r="BE8" s="4"/>
      <c r="BF8" s="4"/>
      <c r="BG8" s="4"/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f>-'My CCs'!$N$6</f>
        <v>0</v>
      </c>
      <c r="BO8" s="4">
        <f>-'My CCs'!$N$6</f>
        <v>0</v>
      </c>
      <c r="BP8" s="4">
        <f>-'My CCs'!$N$6</f>
        <v>0</v>
      </c>
      <c r="BQ8" s="4">
        <f>-'My CCs'!$N$6</f>
        <v>0</v>
      </c>
      <c r="BR8" s="4">
        <f>-'My CCs'!$N$6</f>
        <v>0</v>
      </c>
      <c r="BS8" s="4">
        <f>-'My CCs'!$N$6</f>
        <v>0</v>
      </c>
      <c r="BT8" s="4">
        <f>-'My CCs'!$N$6</f>
        <v>0</v>
      </c>
      <c r="BU8" s="4">
        <v>0</v>
      </c>
      <c r="BV8" s="4">
        <v>0</v>
      </c>
      <c r="BW8" s="442">
        <v>0</v>
      </c>
      <c r="BX8" s="4">
        <v>0</v>
      </c>
      <c r="BY8" s="4">
        <f>-'My CCs'!$N$6</f>
        <v>0</v>
      </c>
      <c r="BZ8" s="4">
        <v>-108566</v>
      </c>
      <c r="CA8" s="4">
        <v>-11227</v>
      </c>
      <c r="CB8" s="4">
        <f>-'My CCs'!$N$6</f>
        <v>0</v>
      </c>
      <c r="CC8" s="4">
        <f>-'My CCs'!$N$6</f>
        <v>0</v>
      </c>
      <c r="CD8" s="4">
        <f>-'My CCs'!$N$6</f>
        <v>0</v>
      </c>
      <c r="CE8" s="4">
        <f>-'My CCs'!$N$6</f>
        <v>0</v>
      </c>
      <c r="CF8" s="4">
        <f>-'My CCs'!$N$6</f>
        <v>0</v>
      </c>
      <c r="CG8" s="4">
        <f>-'My CCs'!$N$6</f>
        <v>0</v>
      </c>
      <c r="CH8" s="4">
        <f>-'My CCs'!$N$6</f>
        <v>0</v>
      </c>
      <c r="CI8" s="4">
        <f>-'My CCs'!$N$6</f>
        <v>0</v>
      </c>
      <c r="CJ8" s="4">
        <f>-'My CCs'!$N$6</f>
        <v>0</v>
      </c>
      <c r="CK8" s="4">
        <f>-'My CCs'!$N$6</f>
        <v>0</v>
      </c>
    </row>
    <row r="9" spans="1:98" x14ac:dyDescent="0.2">
      <c r="A9" s="438" t="s">
        <v>334</v>
      </c>
      <c r="B9" s="232" t="s">
        <v>335</v>
      </c>
      <c r="C9" s="232">
        <v>5</v>
      </c>
      <c r="D9" s="13"/>
      <c r="E9" s="233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234"/>
      <c r="AL9" s="234"/>
      <c r="AM9" s="234"/>
      <c r="AN9" s="234"/>
      <c r="AO9" s="234"/>
      <c r="AP9" s="234"/>
      <c r="AQ9" s="234"/>
      <c r="AR9" s="234"/>
      <c r="AS9" s="234"/>
      <c r="AT9" s="234"/>
      <c r="AU9" s="234"/>
      <c r="AV9" s="234"/>
      <c r="AW9" s="234"/>
      <c r="AX9" s="234">
        <v>0</v>
      </c>
      <c r="AY9" s="234">
        <v>0</v>
      </c>
      <c r="AZ9" s="234">
        <v>0</v>
      </c>
      <c r="BA9" s="234"/>
      <c r="BB9" s="234"/>
      <c r="BC9" s="234"/>
      <c r="BD9" s="234"/>
      <c r="BE9" s="234"/>
      <c r="BF9" s="234"/>
      <c r="BG9" s="234">
        <v>0</v>
      </c>
      <c r="BH9" s="234">
        <v>0</v>
      </c>
      <c r="BI9" s="234">
        <v>0</v>
      </c>
      <c r="BJ9" s="234">
        <v>0</v>
      </c>
      <c r="BK9" s="234">
        <v>0</v>
      </c>
      <c r="BL9" s="234">
        <v>0</v>
      </c>
      <c r="BM9" s="234">
        <v>0</v>
      </c>
      <c r="BN9" s="234">
        <v>0</v>
      </c>
      <c r="BO9" s="234">
        <v>0</v>
      </c>
      <c r="BP9" s="234">
        <v>0</v>
      </c>
      <c r="BQ9" s="234"/>
      <c r="BR9" s="234">
        <v>0</v>
      </c>
      <c r="BS9" s="234">
        <v>-26025</v>
      </c>
      <c r="BT9" s="234">
        <v>-26025</v>
      </c>
      <c r="BU9" s="234">
        <v>0</v>
      </c>
      <c r="BV9" s="234">
        <v>0</v>
      </c>
      <c r="BW9" s="443">
        <v>0</v>
      </c>
      <c r="BX9" s="234">
        <v>0</v>
      </c>
      <c r="BY9" s="234">
        <v>0</v>
      </c>
      <c r="BZ9" s="234">
        <v>0</v>
      </c>
      <c r="CA9" s="234">
        <v>-83500</v>
      </c>
      <c r="CB9" s="234">
        <v>-83500</v>
      </c>
      <c r="CC9" s="234">
        <v>-83500</v>
      </c>
      <c r="CD9" s="234">
        <v>-83500</v>
      </c>
      <c r="CE9" s="234">
        <v>-83500</v>
      </c>
      <c r="CF9" s="234">
        <v>-83500</v>
      </c>
      <c r="CG9" s="234">
        <v>-83500</v>
      </c>
      <c r="CH9" s="234">
        <v>-83500</v>
      </c>
      <c r="CI9" s="234">
        <v>-83500</v>
      </c>
      <c r="CJ9" s="234">
        <v>-83500</v>
      </c>
      <c r="CK9" s="234">
        <v>-83500</v>
      </c>
    </row>
    <row r="10" spans="1:98" x14ac:dyDescent="0.2">
      <c r="A10" s="438" t="s">
        <v>336</v>
      </c>
      <c r="B10" s="232" t="s">
        <v>335</v>
      </c>
      <c r="C10" s="232">
        <v>5</v>
      </c>
      <c r="D10" s="13"/>
      <c r="E10" s="233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4"/>
      <c r="AV10" s="234"/>
      <c r="AW10" s="234"/>
      <c r="AX10" s="234"/>
      <c r="AY10" s="234"/>
      <c r="AZ10" s="234"/>
      <c r="BA10" s="234"/>
      <c r="BB10" s="234"/>
      <c r="BC10" s="234"/>
      <c r="BD10" s="234"/>
      <c r="BE10" s="234"/>
      <c r="BF10" s="234"/>
      <c r="BG10" s="234"/>
      <c r="BH10" s="234"/>
      <c r="BI10" s="234"/>
      <c r="BJ10" s="234"/>
      <c r="BK10" s="234"/>
      <c r="BL10" s="234"/>
      <c r="BM10" s="234"/>
      <c r="BN10" s="234"/>
      <c r="BO10" s="234"/>
      <c r="BP10" s="234"/>
      <c r="BQ10" s="234"/>
      <c r="BR10" s="234"/>
      <c r="BS10" s="234"/>
      <c r="BT10" s="234"/>
      <c r="BU10" s="234"/>
      <c r="BV10" s="234"/>
      <c r="BW10" s="443"/>
      <c r="BX10" s="234"/>
      <c r="BY10" s="234">
        <v>0</v>
      </c>
      <c r="BZ10" s="234">
        <v>0</v>
      </c>
      <c r="CA10" s="234">
        <v>-1500</v>
      </c>
      <c r="CB10" s="234">
        <v>-1500</v>
      </c>
      <c r="CC10" s="234">
        <v>-1500</v>
      </c>
      <c r="CD10" s="234">
        <v>-1500</v>
      </c>
      <c r="CE10" s="234">
        <v>-1500</v>
      </c>
      <c r="CF10" s="234">
        <v>-1500</v>
      </c>
      <c r="CG10" s="234">
        <v>-1500</v>
      </c>
      <c r="CH10" s="234">
        <v>-1500</v>
      </c>
      <c r="CI10" s="234">
        <v>-1500</v>
      </c>
      <c r="CJ10" s="234">
        <v>-1500</v>
      </c>
      <c r="CK10" s="234">
        <v>-1500</v>
      </c>
    </row>
    <row r="11" spans="1:98" x14ac:dyDescent="0.2">
      <c r="A11" s="232" t="s">
        <v>443</v>
      </c>
      <c r="B11" s="232" t="s">
        <v>338</v>
      </c>
      <c r="C11" s="232">
        <v>5</v>
      </c>
      <c r="D11" s="13"/>
      <c r="E11" s="233">
        <v>0</v>
      </c>
      <c r="F11" s="234">
        <v>0</v>
      </c>
      <c r="G11" s="234">
        <v>0</v>
      </c>
      <c r="H11" s="234">
        <v>0</v>
      </c>
      <c r="I11" s="234">
        <v>0</v>
      </c>
      <c r="J11" s="234">
        <v>0</v>
      </c>
      <c r="K11" s="234">
        <v>0</v>
      </c>
      <c r="L11" s="234">
        <v>0</v>
      </c>
      <c r="M11" s="234">
        <v>0</v>
      </c>
      <c r="N11" s="234">
        <v>0</v>
      </c>
      <c r="O11" s="234">
        <v>0</v>
      </c>
      <c r="P11" s="234">
        <v>0</v>
      </c>
      <c r="Q11" s="234">
        <v>0</v>
      </c>
      <c r="R11" s="234">
        <v>0</v>
      </c>
      <c r="S11" s="234">
        <v>0</v>
      </c>
      <c r="T11" s="234">
        <v>0</v>
      </c>
      <c r="U11" s="234">
        <v>0</v>
      </c>
      <c r="V11" s="234">
        <v>0</v>
      </c>
      <c r="W11" s="234">
        <v>0</v>
      </c>
      <c r="X11" s="234">
        <v>0</v>
      </c>
      <c r="Y11" s="234">
        <v>0</v>
      </c>
      <c r="Z11" s="234">
        <v>0</v>
      </c>
      <c r="AA11" s="234">
        <v>0</v>
      </c>
      <c r="AB11" s="234">
        <v>0</v>
      </c>
      <c r="AC11" s="234">
        <v>0</v>
      </c>
      <c r="AD11" s="234">
        <v>0</v>
      </c>
      <c r="AE11" s="234">
        <v>0</v>
      </c>
      <c r="AF11" s="234">
        <v>0</v>
      </c>
      <c r="AG11" s="234">
        <v>0</v>
      </c>
      <c r="AH11" s="234">
        <v>0</v>
      </c>
      <c r="AI11" s="234">
        <v>0</v>
      </c>
      <c r="AJ11" s="234">
        <v>0</v>
      </c>
      <c r="AK11" s="234">
        <v>0</v>
      </c>
      <c r="AL11" s="234">
        <v>0</v>
      </c>
      <c r="AM11" s="234">
        <v>0</v>
      </c>
      <c r="AN11" s="234">
        <v>0</v>
      </c>
      <c r="AO11" s="234"/>
      <c r="AP11" s="234"/>
      <c r="AQ11" s="234"/>
      <c r="AR11" s="234"/>
      <c r="AS11" s="234"/>
      <c r="AT11" s="234"/>
      <c r="AU11" s="234"/>
      <c r="AV11" s="234"/>
      <c r="AW11" s="234"/>
      <c r="AX11" s="234"/>
      <c r="AY11" s="234"/>
      <c r="AZ11" s="234"/>
      <c r="BA11" s="234"/>
      <c r="BB11" s="234"/>
      <c r="BC11" s="234"/>
      <c r="BD11" s="234"/>
      <c r="BE11" s="234"/>
      <c r="BF11" s="234"/>
      <c r="BG11" s="234">
        <v>0</v>
      </c>
      <c r="BH11" s="234"/>
      <c r="BI11" s="234"/>
      <c r="BJ11" s="234"/>
      <c r="BK11" s="234"/>
      <c r="BL11" s="234"/>
      <c r="BM11" s="234"/>
      <c r="BN11" s="234">
        <v>0</v>
      </c>
      <c r="BO11" s="234">
        <v>0</v>
      </c>
      <c r="BP11" s="234">
        <v>0</v>
      </c>
      <c r="BQ11" s="234"/>
      <c r="BR11" s="234">
        <v>0</v>
      </c>
      <c r="BS11" s="234">
        <v>-17634</v>
      </c>
      <c r="BT11" s="234">
        <v>-17634</v>
      </c>
      <c r="BU11" s="234">
        <v>0</v>
      </c>
      <c r="BV11" s="234">
        <v>0</v>
      </c>
      <c r="BW11" s="443">
        <v>0</v>
      </c>
      <c r="BX11" s="234">
        <v>0</v>
      </c>
      <c r="BY11" s="234">
        <v>0</v>
      </c>
      <c r="BZ11" s="234">
        <v>0</v>
      </c>
      <c r="CA11" s="234">
        <v>-17634</v>
      </c>
      <c r="CB11" s="234">
        <v>-17634</v>
      </c>
      <c r="CC11" s="234">
        <v>-17634</v>
      </c>
      <c r="CD11" s="234">
        <v>-17634</v>
      </c>
      <c r="CE11" s="234">
        <v>-17634</v>
      </c>
      <c r="CF11" s="234">
        <v>-17634</v>
      </c>
      <c r="CG11" s="234">
        <v>-17634</v>
      </c>
      <c r="CH11" s="234">
        <v>-17634</v>
      </c>
      <c r="CI11" s="234">
        <v>-17634</v>
      </c>
      <c r="CJ11" s="234">
        <v>-17634</v>
      </c>
      <c r="CK11" s="234">
        <v>-17634</v>
      </c>
      <c r="CO11" s="2" t="s">
        <v>0</v>
      </c>
      <c r="CQ11" s="2">
        <f>SUM(CQ2:CQ10)</f>
        <v>36400</v>
      </c>
    </row>
    <row r="12" spans="1:98" x14ac:dyDescent="0.2">
      <c r="A12" s="5" t="s">
        <v>339</v>
      </c>
      <c r="B12" s="5"/>
      <c r="C12" s="5">
        <v>20</v>
      </c>
      <c r="D12" s="4">
        <v>0</v>
      </c>
      <c r="E12" s="233">
        <v>0</v>
      </c>
      <c r="F12" s="236">
        <v>0</v>
      </c>
      <c r="G12" s="236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/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234">
        <v>0</v>
      </c>
      <c r="AP12" s="234">
        <v>0</v>
      </c>
      <c r="AQ12" s="234">
        <v>0</v>
      </c>
      <c r="AR12" s="234">
        <v>0</v>
      </c>
      <c r="AS12" s="234">
        <v>0</v>
      </c>
      <c r="AT12" s="234">
        <v>0</v>
      </c>
      <c r="AU12" s="234" t="s">
        <v>340</v>
      </c>
      <c r="AV12" s="234"/>
      <c r="AW12" s="234"/>
      <c r="AX12" s="234"/>
      <c r="AY12" s="234"/>
      <c r="AZ12" s="234"/>
      <c r="BA12" s="234"/>
      <c r="BB12" s="234"/>
      <c r="BC12" s="234"/>
      <c r="BD12" s="234"/>
      <c r="BE12" s="234"/>
      <c r="BF12" s="234"/>
      <c r="BG12" s="234"/>
      <c r="BH12" s="234"/>
      <c r="BI12" s="234"/>
      <c r="BJ12" s="234"/>
      <c r="BK12" s="234"/>
      <c r="BL12" s="234"/>
      <c r="BM12" s="234"/>
      <c r="BN12" s="234"/>
      <c r="BO12" s="234"/>
      <c r="BP12" s="234"/>
      <c r="BQ12" s="234"/>
      <c r="BR12" s="234"/>
      <c r="BS12" s="234"/>
      <c r="BT12" s="234"/>
      <c r="BU12" s="234"/>
      <c r="BV12" s="234">
        <v>0</v>
      </c>
      <c r="BW12" s="443"/>
      <c r="BX12" s="234"/>
      <c r="BY12" s="234"/>
      <c r="BZ12" s="234"/>
      <c r="CA12" s="234"/>
      <c r="CB12" s="234"/>
      <c r="CC12" s="234"/>
      <c r="CD12" s="234"/>
      <c r="CE12" s="234"/>
      <c r="CF12" s="234"/>
      <c r="CG12" s="234"/>
      <c r="CH12" s="234"/>
      <c r="CI12" s="234"/>
      <c r="CJ12" s="234"/>
      <c r="CK12" s="234"/>
    </row>
    <row r="13" spans="1:98" x14ac:dyDescent="0.2">
      <c r="A13" s="438" t="s">
        <v>341</v>
      </c>
      <c r="B13" s="235"/>
      <c r="C13" s="23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42"/>
      <c r="BX13" s="4">
        <v>0</v>
      </c>
      <c r="BY13" s="4"/>
      <c r="BZ13" s="4"/>
      <c r="CA13" s="4">
        <v>-21000</v>
      </c>
      <c r="CB13" s="4"/>
      <c r="CC13" s="4"/>
      <c r="CD13" s="4">
        <v>-21000</v>
      </c>
      <c r="CE13" s="4"/>
      <c r="CF13" s="4"/>
      <c r="CG13" s="4">
        <v>-21000</v>
      </c>
      <c r="CH13" s="4"/>
      <c r="CI13" s="4"/>
      <c r="CJ13" s="4">
        <v>-21000</v>
      </c>
      <c r="CK13" s="4"/>
    </row>
    <row r="14" spans="1:98" x14ac:dyDescent="0.2">
      <c r="A14" s="232" t="s">
        <v>342</v>
      </c>
      <c r="B14" s="232"/>
      <c r="C14" s="232">
        <v>2</v>
      </c>
      <c r="D14" s="13">
        <v>0</v>
      </c>
      <c r="E14" s="233">
        <v>0</v>
      </c>
      <c r="F14" s="234">
        <v>0</v>
      </c>
      <c r="G14" s="234">
        <v>0</v>
      </c>
      <c r="H14" s="234">
        <v>0</v>
      </c>
      <c r="I14" s="234">
        <v>0</v>
      </c>
      <c r="J14" s="234">
        <v>0</v>
      </c>
      <c r="K14" s="234">
        <v>0</v>
      </c>
      <c r="L14" s="234">
        <v>0</v>
      </c>
      <c r="M14" s="234">
        <v>0</v>
      </c>
      <c r="N14" s="234">
        <v>0</v>
      </c>
      <c r="O14" s="234">
        <v>0</v>
      </c>
      <c r="P14" s="234"/>
      <c r="Q14" s="234">
        <v>0</v>
      </c>
      <c r="R14" s="234"/>
      <c r="S14" s="234">
        <v>0</v>
      </c>
      <c r="T14" s="234">
        <v>0</v>
      </c>
      <c r="U14" s="234">
        <v>0</v>
      </c>
      <c r="V14" s="234">
        <v>0</v>
      </c>
      <c r="W14" s="234">
        <v>0</v>
      </c>
      <c r="X14" s="234">
        <v>0</v>
      </c>
      <c r="Y14" s="234">
        <v>0</v>
      </c>
      <c r="Z14" s="234">
        <v>0</v>
      </c>
      <c r="AA14" s="234">
        <v>0</v>
      </c>
      <c r="AB14" s="234">
        <v>0</v>
      </c>
      <c r="AC14" s="234"/>
      <c r="AD14" s="234">
        <v>0</v>
      </c>
      <c r="AE14" s="234">
        <v>0</v>
      </c>
      <c r="AF14" s="234">
        <v>0</v>
      </c>
      <c r="AG14" s="234">
        <v>0</v>
      </c>
      <c r="AH14" s="234">
        <v>0</v>
      </c>
      <c r="AI14" s="234"/>
      <c r="AJ14" s="234">
        <v>0</v>
      </c>
      <c r="AK14" s="234">
        <v>0</v>
      </c>
      <c r="AL14" s="234"/>
      <c r="AM14" s="234">
        <v>0</v>
      </c>
      <c r="AN14" s="234">
        <v>0</v>
      </c>
      <c r="AO14" s="234">
        <v>0</v>
      </c>
      <c r="AP14" s="234"/>
      <c r="AQ14" s="234">
        <v>0</v>
      </c>
      <c r="AR14" s="234">
        <v>0</v>
      </c>
      <c r="AS14" s="234">
        <v>0</v>
      </c>
      <c r="AT14" s="234">
        <v>0</v>
      </c>
      <c r="AU14" s="234">
        <v>0</v>
      </c>
      <c r="AV14" s="234">
        <v>0</v>
      </c>
      <c r="AW14" s="234">
        <v>0</v>
      </c>
      <c r="AX14" s="234">
        <v>0</v>
      </c>
      <c r="AY14" s="234">
        <v>0</v>
      </c>
      <c r="AZ14" s="234">
        <v>0</v>
      </c>
      <c r="BA14" s="234"/>
      <c r="BB14" s="234"/>
      <c r="BC14" s="234"/>
      <c r="BD14" s="234"/>
      <c r="BE14" s="234"/>
      <c r="BF14" s="234"/>
      <c r="BG14" s="234">
        <v>0</v>
      </c>
      <c r="BH14" s="234">
        <v>0</v>
      </c>
      <c r="BI14" s="234">
        <v>0</v>
      </c>
      <c r="BJ14" s="234">
        <v>0</v>
      </c>
      <c r="BK14" s="234">
        <v>0</v>
      </c>
      <c r="BL14" s="234">
        <v>0</v>
      </c>
      <c r="BM14" s="234">
        <v>0</v>
      </c>
      <c r="BN14" s="234">
        <v>0</v>
      </c>
      <c r="BO14" s="234">
        <v>0</v>
      </c>
      <c r="BP14" s="234">
        <v>0</v>
      </c>
      <c r="BQ14" s="234"/>
      <c r="BR14" s="234">
        <v>0</v>
      </c>
      <c r="BS14" s="234">
        <v>-100</v>
      </c>
      <c r="BT14" s="234">
        <v>-100</v>
      </c>
      <c r="BU14" s="234"/>
      <c r="BV14" s="234">
        <v>0</v>
      </c>
      <c r="BW14" s="443">
        <v>0</v>
      </c>
      <c r="BX14" s="234">
        <v>0</v>
      </c>
      <c r="BY14" s="234">
        <v>0</v>
      </c>
      <c r="BZ14" s="234">
        <v>0</v>
      </c>
      <c r="CA14" s="234">
        <v>-100</v>
      </c>
      <c r="CB14" s="234">
        <v>-100</v>
      </c>
      <c r="CC14" s="234">
        <v>-100</v>
      </c>
      <c r="CD14" s="234">
        <v>-100</v>
      </c>
      <c r="CE14" s="234">
        <v>-100</v>
      </c>
      <c r="CF14" s="234">
        <v>-100</v>
      </c>
      <c r="CG14" s="234">
        <v>-100</v>
      </c>
      <c r="CH14" s="234">
        <v>-100</v>
      </c>
      <c r="CI14" s="234">
        <v>-100</v>
      </c>
      <c r="CJ14" s="234">
        <v>-100</v>
      </c>
      <c r="CK14" s="234">
        <v>-100</v>
      </c>
    </row>
    <row r="15" spans="1:98" x14ac:dyDescent="0.2">
      <c r="A15" s="5" t="s">
        <v>343</v>
      </c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/>
      <c r="BT15" s="4"/>
      <c r="BU15" s="4"/>
      <c r="BV15" s="4">
        <v>0</v>
      </c>
      <c r="BW15" s="442">
        <v>0</v>
      </c>
      <c r="BX15" s="4">
        <v>0</v>
      </c>
      <c r="BY15" s="4">
        <v>0</v>
      </c>
      <c r="BZ15" s="4">
        <v>0</v>
      </c>
      <c r="CA15" s="4">
        <v>-500</v>
      </c>
      <c r="CB15" s="4">
        <v>-500</v>
      </c>
      <c r="CC15" s="4">
        <v>-500</v>
      </c>
      <c r="CD15" s="4">
        <v>-500</v>
      </c>
      <c r="CE15" s="4">
        <v>-500</v>
      </c>
      <c r="CF15" s="4">
        <v>-500</v>
      </c>
      <c r="CG15" s="4">
        <v>-500</v>
      </c>
      <c r="CH15" s="4">
        <v>-500</v>
      </c>
      <c r="CI15" s="4">
        <v>-500</v>
      </c>
      <c r="CJ15" s="4">
        <v>-500</v>
      </c>
      <c r="CK15" s="4">
        <v>-500</v>
      </c>
    </row>
    <row r="16" spans="1:98" x14ac:dyDescent="0.2">
      <c r="A16" s="5" t="s">
        <v>344</v>
      </c>
      <c r="B16" s="5"/>
      <c r="C16" s="5">
        <v>24</v>
      </c>
      <c r="D16" s="4"/>
      <c r="E16" s="4"/>
      <c r="F16" s="4"/>
      <c r="G16" s="4"/>
      <c r="H16" s="4">
        <v>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>
        <v>0</v>
      </c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42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O16" s="616" t="s">
        <v>345</v>
      </c>
      <c r="CP16" s="616"/>
      <c r="CQ16" s="616"/>
      <c r="CR16" s="616"/>
      <c r="CS16" s="616"/>
      <c r="CT16" s="616"/>
    </row>
    <row r="17" spans="1:98" x14ac:dyDescent="0.2">
      <c r="A17" s="5" t="s">
        <v>346</v>
      </c>
      <c r="B17" s="5"/>
      <c r="C17" s="5"/>
      <c r="D17" s="13">
        <v>0</v>
      </c>
      <c r="E17" s="233">
        <v>0</v>
      </c>
      <c r="F17" s="4"/>
      <c r="G17" s="4"/>
      <c r="H17" s="4"/>
      <c r="I17" s="4"/>
      <c r="J17" s="4"/>
      <c r="K17" s="4"/>
      <c r="L17" s="4"/>
      <c r="M17" s="4"/>
      <c r="N17" s="4">
        <v>0</v>
      </c>
      <c r="O17" s="4"/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 t="s">
        <v>168</v>
      </c>
      <c r="AH17" s="4">
        <v>0</v>
      </c>
      <c r="AI17" s="4">
        <v>0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>
        <v>0</v>
      </c>
      <c r="BS17" s="4"/>
      <c r="BT17" s="4"/>
      <c r="BU17" s="4"/>
      <c r="BV17" s="4">
        <v>0</v>
      </c>
      <c r="BW17" s="442">
        <v>0</v>
      </c>
      <c r="BX17" s="4">
        <v>0</v>
      </c>
      <c r="BY17" s="4">
        <v>0</v>
      </c>
      <c r="BZ17" s="4">
        <v>0</v>
      </c>
      <c r="CA17" s="4">
        <v>-1000</v>
      </c>
      <c r="CB17" s="4">
        <v>-1000</v>
      </c>
      <c r="CC17" s="4">
        <v>-1000</v>
      </c>
      <c r="CD17" s="4">
        <v>-1000</v>
      </c>
      <c r="CE17" s="4">
        <v>-1000</v>
      </c>
      <c r="CF17" s="4">
        <v>-1000</v>
      </c>
      <c r="CG17" s="4">
        <v>-1000</v>
      </c>
      <c r="CH17" s="4">
        <v>-1000</v>
      </c>
      <c r="CI17" s="4">
        <v>-1000</v>
      </c>
      <c r="CJ17" s="4">
        <v>-1000</v>
      </c>
      <c r="CK17" s="4">
        <v>-1000</v>
      </c>
      <c r="CO17" s="5" t="s">
        <v>347</v>
      </c>
      <c r="CP17" s="5"/>
      <c r="CQ17" s="5">
        <v>33517.43</v>
      </c>
      <c r="CR17" s="5"/>
      <c r="CS17" s="5"/>
      <c r="CT17" s="5"/>
    </row>
    <row r="18" spans="1:98" x14ac:dyDescent="0.2">
      <c r="A18" s="5" t="s">
        <v>348</v>
      </c>
      <c r="B18" s="5"/>
      <c r="C18" s="5">
        <v>27</v>
      </c>
      <c r="D18" s="4"/>
      <c r="E18" s="4"/>
      <c r="F18" s="4"/>
      <c r="G18" s="236"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37"/>
      <c r="W18" s="237">
        <v>0</v>
      </c>
      <c r="X18" s="237"/>
      <c r="Y18" s="237"/>
      <c r="Z18" s="237"/>
      <c r="AA18" s="4"/>
      <c r="AB18" s="4"/>
      <c r="AC18" s="4"/>
      <c r="AD18" s="4"/>
      <c r="AE18" s="4"/>
      <c r="AF18" s="4"/>
      <c r="AG18" s="4">
        <v>0</v>
      </c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42"/>
      <c r="BX18" s="4"/>
      <c r="BY18" s="4"/>
      <c r="BZ18" s="4"/>
      <c r="CA18" s="4"/>
      <c r="CB18" s="4"/>
      <c r="CC18" s="4"/>
      <c r="CD18" s="4"/>
      <c r="CE18" s="4">
        <v>-11000</v>
      </c>
      <c r="CF18" s="4"/>
      <c r="CG18" s="4"/>
      <c r="CH18" s="4"/>
      <c r="CI18" s="4"/>
      <c r="CJ18" s="4"/>
      <c r="CK18" s="4"/>
      <c r="CO18" s="5" t="s">
        <v>349</v>
      </c>
      <c r="CP18" s="5"/>
      <c r="CQ18" s="5">
        <v>6</v>
      </c>
      <c r="CR18" s="5"/>
      <c r="CS18" s="5"/>
      <c r="CT18" s="5"/>
    </row>
    <row r="19" spans="1:98" x14ac:dyDescent="0.2">
      <c r="A19" s="5" t="s">
        <v>350</v>
      </c>
      <c r="B19" s="5"/>
      <c r="C19" s="5">
        <v>12</v>
      </c>
      <c r="D19" s="13">
        <v>0</v>
      </c>
      <c r="E19" s="233">
        <v>0</v>
      </c>
      <c r="F19" s="4"/>
      <c r="G19" s="4"/>
      <c r="H19" s="4"/>
      <c r="I19" s="4">
        <v>0</v>
      </c>
      <c r="J19" s="4"/>
      <c r="K19" s="4"/>
      <c r="L19" s="4"/>
      <c r="M19" s="4"/>
      <c r="N19" s="4"/>
      <c r="O19" s="4"/>
      <c r="P19" s="4"/>
      <c r="Q19" s="4">
        <v>0</v>
      </c>
      <c r="R19" s="4"/>
      <c r="S19" s="4"/>
      <c r="T19" s="4"/>
      <c r="U19" s="4">
        <v>0</v>
      </c>
      <c r="V19" s="4"/>
      <c r="W19" s="4"/>
      <c r="X19" s="4"/>
      <c r="Y19" s="4"/>
      <c r="Z19" s="4"/>
      <c r="AA19" s="4"/>
      <c r="AB19" s="4"/>
      <c r="AC19" s="4">
        <v>0</v>
      </c>
      <c r="AD19" s="4"/>
      <c r="AE19" s="4"/>
      <c r="AF19" s="4"/>
      <c r="AG19" s="4"/>
      <c r="AH19" s="4">
        <v>0</v>
      </c>
      <c r="AI19" s="4"/>
      <c r="AJ19" s="4"/>
      <c r="AK19" s="4"/>
      <c r="AL19" s="4"/>
      <c r="AM19" s="4"/>
      <c r="AN19" s="4"/>
      <c r="AO19" s="4"/>
      <c r="AP19" s="4">
        <v>0</v>
      </c>
      <c r="AQ19" s="4"/>
      <c r="AR19" s="4"/>
      <c r="AS19" s="4"/>
      <c r="AT19" s="4">
        <v>0</v>
      </c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>
        <v>0</v>
      </c>
      <c r="BS19" s="4"/>
      <c r="BT19" s="4"/>
      <c r="BU19" s="4"/>
      <c r="BV19" s="4"/>
      <c r="BW19" s="4"/>
      <c r="BX19" s="4"/>
      <c r="BY19" s="4">
        <v>0</v>
      </c>
      <c r="BZ19" s="4"/>
      <c r="CA19" s="4"/>
      <c r="CB19" s="4"/>
      <c r="CC19" s="4"/>
      <c r="CD19" s="4">
        <v>-5500</v>
      </c>
      <c r="CE19" s="4"/>
      <c r="CF19" s="4"/>
      <c r="CG19" s="4"/>
      <c r="CH19" s="4"/>
      <c r="CI19" s="4"/>
      <c r="CJ19" s="4"/>
      <c r="CK19" s="4">
        <v>-6210</v>
      </c>
      <c r="CO19" s="5" t="s">
        <v>351</v>
      </c>
      <c r="CP19" s="5" t="s">
        <v>352</v>
      </c>
      <c r="CQ19" s="5" t="s">
        <v>17</v>
      </c>
      <c r="CR19" s="5" t="s">
        <v>254</v>
      </c>
      <c r="CS19" s="5" t="s">
        <v>18</v>
      </c>
      <c r="CT19" s="5" t="s">
        <v>15</v>
      </c>
    </row>
    <row r="20" spans="1:98" x14ac:dyDescent="0.2">
      <c r="A20" s="5" t="s">
        <v>353</v>
      </c>
      <c r="B20" s="5"/>
      <c r="C20" s="5">
        <v>6</v>
      </c>
      <c r="D20" s="4"/>
      <c r="E20" s="233">
        <v>0</v>
      </c>
      <c r="F20" s="233">
        <v>0</v>
      </c>
      <c r="G20" s="236">
        <v>0</v>
      </c>
      <c r="H20" s="4">
        <v>0</v>
      </c>
      <c r="I20" s="4"/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238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/>
      <c r="AP20" s="4">
        <v>0</v>
      </c>
      <c r="AQ20" s="4"/>
      <c r="AR20" s="4">
        <v>0</v>
      </c>
      <c r="AS20" s="4"/>
      <c r="AT20" s="4"/>
      <c r="AU20" s="4"/>
      <c r="AV20" s="4"/>
      <c r="AW20" s="4"/>
      <c r="AX20" s="4"/>
      <c r="AY20" s="4"/>
      <c r="AZ20" s="4">
        <v>0</v>
      </c>
      <c r="BA20" s="4"/>
      <c r="BB20" s="4"/>
      <c r="BC20" s="4"/>
      <c r="BD20" s="4"/>
      <c r="BE20" s="4"/>
      <c r="BF20" s="4"/>
      <c r="BG20" s="4"/>
      <c r="BH20" s="4"/>
      <c r="BI20" s="4"/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42">
        <v>0</v>
      </c>
      <c r="BX20" s="4">
        <v>0</v>
      </c>
      <c r="BY20" s="4">
        <v>0</v>
      </c>
      <c r="BZ20" s="4">
        <v>0</v>
      </c>
      <c r="CA20" s="4">
        <v>-3500</v>
      </c>
      <c r="CB20" s="4">
        <v>-3500</v>
      </c>
      <c r="CC20" s="4">
        <v>-3500</v>
      </c>
      <c r="CD20" s="4">
        <v>-3500</v>
      </c>
      <c r="CE20" s="4">
        <v>-3500</v>
      </c>
      <c r="CF20" s="4">
        <v>-3500</v>
      </c>
      <c r="CG20" s="4">
        <v>-3500</v>
      </c>
      <c r="CH20" s="4">
        <v>-3500</v>
      </c>
      <c r="CI20" s="4">
        <v>-3500</v>
      </c>
      <c r="CJ20" s="4">
        <v>-3500</v>
      </c>
      <c r="CK20" s="4">
        <v>-3500</v>
      </c>
      <c r="CO20" s="423" t="s">
        <v>354</v>
      </c>
      <c r="CP20" s="4">
        <v>5414.21</v>
      </c>
      <c r="CQ20" s="4">
        <v>391.02</v>
      </c>
      <c r="CR20" s="4">
        <f t="shared" ref="CR20:CR21" si="0">CQ20*18/100</f>
        <v>70.383600000000001</v>
      </c>
      <c r="CS20" s="4">
        <f t="shared" ref="CS20:CS22" si="1">SUM(CP20:CR20)</f>
        <v>5875.6135999999997</v>
      </c>
      <c r="CT20" s="4">
        <v>5000</v>
      </c>
    </row>
    <row r="21" spans="1:98" x14ac:dyDescent="0.2">
      <c r="A21" s="5" t="s">
        <v>355</v>
      </c>
      <c r="B21" s="5"/>
      <c r="C21" s="5">
        <v>25</v>
      </c>
      <c r="D21" s="4">
        <v>0</v>
      </c>
      <c r="E21" s="4">
        <v>0</v>
      </c>
      <c r="F21" s="236">
        <v>0</v>
      </c>
      <c r="G21" s="236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/>
      <c r="O21" s="4"/>
      <c r="P21" s="4">
        <v>0</v>
      </c>
      <c r="Q21" s="4"/>
      <c r="R21" s="4"/>
      <c r="S21" s="4"/>
      <c r="T21" s="4">
        <v>0</v>
      </c>
      <c r="U21" s="4"/>
      <c r="V21" s="4"/>
      <c r="W21" s="240">
        <v>0</v>
      </c>
      <c r="X21" s="240"/>
      <c r="Y21" s="240"/>
      <c r="Z21" s="240">
        <v>0</v>
      </c>
      <c r="AA21" s="4"/>
      <c r="AB21" s="4"/>
      <c r="AC21" s="4">
        <v>0</v>
      </c>
      <c r="AD21" s="4"/>
      <c r="AE21" s="4"/>
      <c r="AF21" s="4">
        <v>0</v>
      </c>
      <c r="AG21" s="4"/>
      <c r="AH21" s="4"/>
      <c r="AI21" s="4">
        <v>0</v>
      </c>
      <c r="AJ21" s="4">
        <v>0</v>
      </c>
      <c r="AK21" s="4"/>
      <c r="AL21" s="4">
        <v>0</v>
      </c>
      <c r="AM21" s="4">
        <v>0</v>
      </c>
      <c r="AN21" s="4"/>
      <c r="AO21" s="4">
        <v>0</v>
      </c>
      <c r="AP21" s="4">
        <v>0</v>
      </c>
      <c r="AQ21" s="4">
        <v>0</v>
      </c>
      <c r="AR21" s="4"/>
      <c r="AS21" s="4">
        <v>0</v>
      </c>
      <c r="AT21" s="4">
        <v>0</v>
      </c>
      <c r="AU21" s="4"/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/>
      <c r="BC21" s="4"/>
      <c r="BD21" s="4"/>
      <c r="BE21" s="4"/>
      <c r="BF21" s="4"/>
      <c r="BG21" s="4"/>
      <c r="BH21" s="4">
        <v>0</v>
      </c>
      <c r="BI21" s="4">
        <v>0</v>
      </c>
      <c r="BJ21" s="4"/>
      <c r="BK21" s="4">
        <v>0</v>
      </c>
      <c r="BL21" s="4"/>
      <c r="BM21" s="4"/>
      <c r="BN21" s="4">
        <v>0</v>
      </c>
      <c r="BO21" s="4"/>
      <c r="BP21" s="4"/>
      <c r="BQ21" s="4">
        <v>0</v>
      </c>
      <c r="BR21" s="4"/>
      <c r="BS21" s="4"/>
      <c r="BT21" s="4">
        <v>0</v>
      </c>
      <c r="BU21" s="4"/>
      <c r="BV21" s="4"/>
      <c r="BW21" s="442"/>
      <c r="BX21" s="4"/>
      <c r="BY21" s="4"/>
      <c r="BZ21" s="4">
        <v>-864</v>
      </c>
      <c r="CA21" s="4"/>
      <c r="CB21" s="4"/>
      <c r="CC21" s="4">
        <v>-864</v>
      </c>
      <c r="CD21" s="4"/>
      <c r="CE21" s="4"/>
      <c r="CF21" s="4">
        <v>-864</v>
      </c>
      <c r="CG21" s="4"/>
      <c r="CH21" s="4"/>
      <c r="CI21" s="4"/>
      <c r="CJ21" s="4"/>
      <c r="CK21" s="4"/>
      <c r="CO21" s="423" t="s">
        <v>356</v>
      </c>
      <c r="CP21" s="4">
        <v>5481.88</v>
      </c>
      <c r="CQ21" s="4">
        <v>351.29</v>
      </c>
      <c r="CR21" s="4">
        <f t="shared" si="0"/>
        <v>63.232200000000006</v>
      </c>
      <c r="CS21" s="4">
        <f t="shared" si="1"/>
        <v>5896.4022000000004</v>
      </c>
      <c r="CT21" s="4">
        <v>8500</v>
      </c>
    </row>
    <row r="22" spans="1:98" x14ac:dyDescent="0.2">
      <c r="A22" s="5" t="s">
        <v>357</v>
      </c>
      <c r="B22" s="5"/>
      <c r="C22" s="5"/>
      <c r="D22" s="13">
        <v>0</v>
      </c>
      <c r="E22" s="233">
        <v>0</v>
      </c>
      <c r="F22" s="236">
        <v>0</v>
      </c>
      <c r="G22" s="236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/>
      <c r="Q22" s="4"/>
      <c r="R22" s="4">
        <v>0</v>
      </c>
      <c r="S22" s="4">
        <v>0</v>
      </c>
      <c r="T22" s="4">
        <v>0</v>
      </c>
      <c r="U22" s="4"/>
      <c r="V22" s="4"/>
      <c r="W22" s="4"/>
      <c r="X22" s="4"/>
      <c r="Y22" s="4">
        <v>0</v>
      </c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>
        <v>0</v>
      </c>
      <c r="AU22" s="4"/>
      <c r="AV22" s="4"/>
      <c r="AW22" s="4">
        <v>0</v>
      </c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42"/>
      <c r="BX22" s="4">
        <v>0</v>
      </c>
      <c r="BY22" s="4"/>
      <c r="BZ22" s="4"/>
      <c r="CA22" s="4"/>
      <c r="CB22" s="4">
        <v>-17300</v>
      </c>
      <c r="CC22" s="4"/>
      <c r="CD22" s="4"/>
      <c r="CE22" s="4"/>
      <c r="CF22" s="4">
        <v>-17300</v>
      </c>
      <c r="CG22" s="4"/>
      <c r="CH22" s="4"/>
      <c r="CI22" s="4"/>
      <c r="CJ22" s="4"/>
      <c r="CK22" s="4"/>
      <c r="CO22" s="423" t="s">
        <v>358</v>
      </c>
      <c r="CP22" s="4">
        <v>5550.41</v>
      </c>
      <c r="CQ22" s="4">
        <v>282.76</v>
      </c>
      <c r="CR22" s="4">
        <f>CQ22*18/100</f>
        <v>50.896800000000006</v>
      </c>
      <c r="CS22" s="4">
        <f t="shared" si="1"/>
        <v>5884.0668000000005</v>
      </c>
      <c r="CT22" s="4"/>
    </row>
    <row r="23" spans="1:98" x14ac:dyDescent="0.2">
      <c r="A23" s="5" t="s">
        <v>359</v>
      </c>
      <c r="B23" s="5"/>
      <c r="C23" s="5">
        <v>23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>
        <v>0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>
        <v>0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42"/>
      <c r="BX23" s="4"/>
      <c r="BY23" s="4"/>
      <c r="BZ23" s="4"/>
      <c r="CA23" s="4">
        <v>-117000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O23" s="423" t="s">
        <v>360</v>
      </c>
      <c r="CP23" s="4">
        <v>5619.79</v>
      </c>
      <c r="CQ23" s="4">
        <v>213.38</v>
      </c>
      <c r="CR23" s="4">
        <f>CQ23*18/100</f>
        <v>38.4084</v>
      </c>
      <c r="CS23" s="4">
        <f>SUM(CP23:CR23)</f>
        <v>5871.5784000000003</v>
      </c>
      <c r="CT23" s="4"/>
    </row>
    <row r="24" spans="1:98" x14ac:dyDescent="0.2">
      <c r="A24" s="5" t="s">
        <v>361</v>
      </c>
      <c r="B24" s="5"/>
      <c r="C24" s="5">
        <v>15</v>
      </c>
      <c r="D24" s="4"/>
      <c r="E24" s="233"/>
      <c r="F24" s="4"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42"/>
      <c r="BX24" s="4"/>
      <c r="BY24" s="4"/>
      <c r="BZ24" s="442">
        <v>-4166</v>
      </c>
      <c r="CA24" s="442">
        <v>-4166</v>
      </c>
      <c r="CB24" s="442">
        <v>-4166</v>
      </c>
      <c r="CC24" s="442">
        <v>-4166</v>
      </c>
      <c r="CD24" s="442">
        <v>-4166</v>
      </c>
      <c r="CE24" s="442">
        <v>-4166</v>
      </c>
      <c r="CF24" s="442">
        <v>-4166</v>
      </c>
      <c r="CG24" s="442">
        <v>-4166</v>
      </c>
      <c r="CH24" s="442">
        <v>-4166</v>
      </c>
      <c r="CI24" s="442">
        <v>-4166</v>
      </c>
      <c r="CJ24" s="442">
        <v>-4166</v>
      </c>
      <c r="CK24" s="442">
        <v>-4166</v>
      </c>
      <c r="CO24" s="423" t="s">
        <v>362</v>
      </c>
      <c r="CP24" s="4">
        <v>5690.04</v>
      </c>
      <c r="CQ24" s="4">
        <v>143.13</v>
      </c>
      <c r="CR24" s="4">
        <f>CQ24*18/100</f>
        <v>25.763400000000001</v>
      </c>
      <c r="CS24" s="4">
        <f>SUM(CP24:CR24)</f>
        <v>5858.9333999999999</v>
      </c>
      <c r="CT24" s="4"/>
    </row>
    <row r="25" spans="1:98" x14ac:dyDescent="0.2">
      <c r="A25" s="5" t="s">
        <v>363</v>
      </c>
      <c r="B25" s="5"/>
      <c r="C25" s="5">
        <v>25</v>
      </c>
      <c r="D25" s="13">
        <v>0</v>
      </c>
      <c r="E25" s="233">
        <v>0</v>
      </c>
      <c r="F25" s="236">
        <v>0</v>
      </c>
      <c r="G25" s="236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/>
      <c r="AY25" s="4">
        <v>0</v>
      </c>
      <c r="AZ25" s="4">
        <v>0</v>
      </c>
      <c r="BA25" s="4">
        <v>0</v>
      </c>
      <c r="BB25" s="4"/>
      <c r="BC25" s="4"/>
      <c r="BD25" s="4"/>
      <c r="BE25" s="4"/>
      <c r="BF25" s="4"/>
      <c r="BG25" s="4"/>
      <c r="BH25" s="4"/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42">
        <v>0</v>
      </c>
      <c r="BX25" s="4">
        <v>0</v>
      </c>
      <c r="BY25" s="4">
        <v>0</v>
      </c>
      <c r="BZ25" s="4">
        <v>0</v>
      </c>
      <c r="CA25" s="4">
        <v>-5000</v>
      </c>
      <c r="CB25" s="4">
        <v>-5000</v>
      </c>
      <c r="CC25" s="4">
        <v>-5000</v>
      </c>
      <c r="CD25" s="4">
        <v>-5000</v>
      </c>
      <c r="CE25" s="4">
        <v>-5000</v>
      </c>
      <c r="CF25" s="4">
        <v>-5000</v>
      </c>
      <c r="CG25" s="4">
        <v>-5000</v>
      </c>
      <c r="CH25" s="4">
        <v>-5000</v>
      </c>
      <c r="CI25" s="4">
        <v>-5000</v>
      </c>
      <c r="CJ25" s="4">
        <v>-5000</v>
      </c>
      <c r="CK25" s="4">
        <v>-5000</v>
      </c>
      <c r="CO25" s="423" t="s">
        <v>364</v>
      </c>
      <c r="CP25" s="4">
        <v>5761.1</v>
      </c>
      <c r="CQ25" s="4">
        <v>72.010000000000005</v>
      </c>
      <c r="CR25" s="4">
        <f>CQ25*18/100</f>
        <v>12.9618</v>
      </c>
      <c r="CS25" s="4">
        <f>SUM(CP25:CR25)</f>
        <v>5846.0718000000006</v>
      </c>
      <c r="CT25" s="4"/>
    </row>
    <row r="26" spans="1:98" x14ac:dyDescent="0.2">
      <c r="A26" s="5" t="s">
        <v>444</v>
      </c>
      <c r="B26" s="5"/>
      <c r="C26" s="5"/>
      <c r="D26" s="4"/>
      <c r="E26" s="4"/>
      <c r="F26" s="4"/>
      <c r="G26" s="4"/>
      <c r="H26" s="4"/>
      <c r="I26" s="4"/>
      <c r="J26" s="4"/>
      <c r="K26" s="4"/>
      <c r="L26" s="4">
        <v>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>
        <v>0</v>
      </c>
      <c r="AW26" s="4">
        <v>0</v>
      </c>
      <c r="AX26" s="4"/>
      <c r="AY26" s="4">
        <v>0</v>
      </c>
      <c r="AZ26" s="4">
        <v>0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42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O26" s="423"/>
      <c r="CP26" s="4"/>
      <c r="CQ26" s="4"/>
      <c r="CR26" s="4"/>
      <c r="CS26" s="4"/>
      <c r="CT26" s="4"/>
    </row>
    <row r="27" spans="1:98" x14ac:dyDescent="0.2">
      <c r="A27" s="8" t="s">
        <v>366</v>
      </c>
      <c r="B27" s="8"/>
      <c r="C27" s="239">
        <v>10</v>
      </c>
      <c r="D27" s="13">
        <v>0</v>
      </c>
      <c r="E27" s="233">
        <v>0</v>
      </c>
      <c r="F27" s="236">
        <v>0</v>
      </c>
      <c r="G27" s="236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/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42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O27" s="423" t="s">
        <v>367</v>
      </c>
      <c r="CP27" s="4"/>
      <c r="CQ27" s="4"/>
      <c r="CR27" s="4"/>
      <c r="CS27" s="4">
        <v>199</v>
      </c>
      <c r="CT27" s="4"/>
    </row>
    <row r="28" spans="1:98" x14ac:dyDescent="0.2">
      <c r="A28" s="5" t="s">
        <v>368</v>
      </c>
      <c r="B28" s="5"/>
      <c r="C28" s="5"/>
      <c r="D28" s="13"/>
      <c r="E28" s="233"/>
      <c r="F28" s="236"/>
      <c r="G28" s="236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42">
        <v>0</v>
      </c>
      <c r="BX28" s="4"/>
      <c r="BY28" s="4"/>
      <c r="BZ28" s="4"/>
      <c r="CA28" s="4"/>
      <c r="CB28" s="4">
        <v>-17000</v>
      </c>
      <c r="CC28" s="4"/>
      <c r="CD28" s="4"/>
      <c r="CE28" s="4"/>
      <c r="CF28" s="4">
        <v>-17000</v>
      </c>
      <c r="CG28" s="4"/>
      <c r="CH28" s="4"/>
      <c r="CI28" s="4"/>
      <c r="CJ28" s="4"/>
      <c r="CK28" s="4"/>
      <c r="CO28" s="2" t="s">
        <v>18</v>
      </c>
      <c r="CS28" s="3">
        <f>SUM(CS20:CS27)</f>
        <v>35431.6662</v>
      </c>
      <c r="CT28" s="3">
        <f>SUM(CT20:CT27)</f>
        <v>13500</v>
      </c>
    </row>
    <row r="29" spans="1:98" x14ac:dyDescent="0.2">
      <c r="A29" s="5" t="s">
        <v>369</v>
      </c>
      <c r="B29" s="5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>
        <v>0</v>
      </c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42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>
        <v>-90997</v>
      </c>
      <c r="CK29" s="4"/>
      <c r="CS29" s="170" t="s">
        <v>370</v>
      </c>
      <c r="CT29" s="374">
        <f>CS28-CT28</f>
        <v>21931.6662</v>
      </c>
    </row>
    <row r="30" spans="1:98" x14ac:dyDescent="0.2">
      <c r="A30" s="232" t="s">
        <v>371</v>
      </c>
      <c r="B30" s="232"/>
      <c r="C30" s="232">
        <v>19</v>
      </c>
      <c r="D30" s="4"/>
      <c r="E30" s="23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v>0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>
        <v>0</v>
      </c>
      <c r="AZ30" s="4">
        <v>0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42"/>
      <c r="BX30" s="4"/>
      <c r="BY30" s="4"/>
      <c r="BZ30" s="4">
        <v>0</v>
      </c>
      <c r="CA30" s="4">
        <v>-8827</v>
      </c>
      <c r="CB30" s="4">
        <v>-8827</v>
      </c>
      <c r="CC30" s="4">
        <v>-8827</v>
      </c>
      <c r="CD30" s="4">
        <v>-8827</v>
      </c>
      <c r="CE30" s="4">
        <v>-8827</v>
      </c>
      <c r="CF30" s="4">
        <v>-8827</v>
      </c>
      <c r="CG30" s="4">
        <v>-8827</v>
      </c>
      <c r="CH30" s="4">
        <v>-8827</v>
      </c>
      <c r="CI30" s="4">
        <v>-8827</v>
      </c>
      <c r="CJ30" s="4">
        <v>-8827</v>
      </c>
      <c r="CK30" s="4">
        <v>-8827</v>
      </c>
    </row>
    <row r="31" spans="1:98" x14ac:dyDescent="0.2">
      <c r="A31" s="5" t="s">
        <v>372</v>
      </c>
      <c r="B31" s="5"/>
      <c r="C31" s="5"/>
      <c r="D31" s="4"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v>0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42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</row>
    <row r="32" spans="1:98" x14ac:dyDescent="0.2">
      <c r="A32" s="5" t="s">
        <v>373</v>
      </c>
      <c r="B32" s="5"/>
      <c r="C32" s="5"/>
      <c r="D32" s="4">
        <v>0</v>
      </c>
      <c r="E32" s="233">
        <v>0</v>
      </c>
      <c r="F32" s="236">
        <v>0</v>
      </c>
      <c r="G32" s="236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/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/>
      <c r="AK32" s="4"/>
      <c r="AL32" s="4">
        <v>0</v>
      </c>
      <c r="AM32" s="4">
        <v>0</v>
      </c>
      <c r="AN32" s="4">
        <v>0</v>
      </c>
      <c r="AO32" s="234">
        <v>0</v>
      </c>
      <c r="AP32" s="234">
        <v>0</v>
      </c>
      <c r="AQ32" s="234">
        <v>0</v>
      </c>
      <c r="AR32" s="234">
        <v>0</v>
      </c>
      <c r="AS32" s="234">
        <v>0</v>
      </c>
      <c r="AT32" s="234">
        <v>0</v>
      </c>
      <c r="AU32" s="234" t="s">
        <v>340</v>
      </c>
      <c r="AV32" s="234"/>
      <c r="AW32" s="234"/>
      <c r="AX32" s="234"/>
      <c r="AY32" s="234"/>
      <c r="AZ32" s="234"/>
      <c r="BA32" s="234"/>
      <c r="BB32" s="234"/>
      <c r="BC32" s="234"/>
      <c r="BD32" s="234"/>
      <c r="BE32" s="234"/>
      <c r="BF32" s="234"/>
      <c r="BG32" s="234"/>
      <c r="BH32" s="234"/>
      <c r="BI32" s="234"/>
      <c r="BJ32" s="234"/>
      <c r="BK32" s="234"/>
      <c r="BL32" s="234"/>
      <c r="BM32" s="234"/>
      <c r="BN32" s="234">
        <v>0</v>
      </c>
      <c r="BO32" s="234">
        <v>0</v>
      </c>
      <c r="BP32" s="234">
        <v>0</v>
      </c>
      <c r="BQ32" s="234">
        <v>0</v>
      </c>
      <c r="BR32" s="234">
        <v>0</v>
      </c>
      <c r="BS32" s="234">
        <v>0</v>
      </c>
      <c r="BT32" s="234">
        <v>0</v>
      </c>
      <c r="BU32" s="234"/>
      <c r="BV32" s="234"/>
      <c r="BW32" s="443"/>
      <c r="BX32" s="234"/>
      <c r="BY32" s="234"/>
      <c r="BZ32" s="234"/>
      <c r="CA32" s="234"/>
      <c r="CB32" s="234"/>
      <c r="CC32" s="234"/>
      <c r="CD32" s="234"/>
      <c r="CE32" s="234"/>
      <c r="CF32" s="234"/>
      <c r="CG32" s="234"/>
      <c r="CH32" s="234"/>
      <c r="CI32" s="234"/>
      <c r="CJ32" s="234"/>
      <c r="CK32" s="234">
        <v>-19000</v>
      </c>
    </row>
    <row r="33" spans="1:89" x14ac:dyDescent="0.2">
      <c r="A33" s="487" t="s">
        <v>445</v>
      </c>
      <c r="B33" s="487"/>
      <c r="C33" s="487">
        <v>1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>
        <v>0</v>
      </c>
      <c r="AW33" s="4">
        <v>0</v>
      </c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/>
      <c r="BV33" s="4"/>
      <c r="BW33" s="442"/>
      <c r="BX33" s="4"/>
      <c r="BY33" s="4"/>
      <c r="BZ33" s="4">
        <v>0</v>
      </c>
      <c r="CA33" s="4">
        <v>-5550</v>
      </c>
      <c r="CB33" s="4">
        <v>-5550</v>
      </c>
      <c r="CC33" s="4">
        <v>-5550</v>
      </c>
      <c r="CD33" s="4">
        <v>-5550</v>
      </c>
      <c r="CE33" s="4">
        <v>-5550</v>
      </c>
      <c r="CF33" s="4">
        <v>-5550</v>
      </c>
      <c r="CG33" s="4">
        <v>-5550</v>
      </c>
      <c r="CH33" s="4">
        <v>-5550</v>
      </c>
      <c r="CI33" s="4">
        <v>-5550</v>
      </c>
      <c r="CJ33" s="4">
        <v>-5550</v>
      </c>
      <c r="CK33" s="4">
        <v>-5550</v>
      </c>
    </row>
    <row r="34" spans="1:89" x14ac:dyDescent="0.2">
      <c r="A34" s="487" t="s">
        <v>446</v>
      </c>
      <c r="B34" s="488"/>
      <c r="C34" s="489">
        <v>1</v>
      </c>
      <c r="D34" s="13"/>
      <c r="E34" s="233"/>
      <c r="F34" s="236"/>
      <c r="G34" s="236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/>
      <c r="AG34" s="4"/>
      <c r="AH34" s="4"/>
      <c r="AI34" s="4"/>
      <c r="AJ34" s="4"/>
      <c r="AK34" s="4"/>
      <c r="AL34" s="4"/>
      <c r="AM34" s="4"/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/>
      <c r="AT34" s="4">
        <v>0</v>
      </c>
      <c r="AU34" s="4">
        <v>0</v>
      </c>
      <c r="AV34" s="4">
        <v>0</v>
      </c>
      <c r="AW34" s="4">
        <v>0</v>
      </c>
      <c r="AX34" s="4">
        <v>-1</v>
      </c>
      <c r="AY34" s="4">
        <v>-1</v>
      </c>
      <c r="AZ34" s="4">
        <v>-1</v>
      </c>
      <c r="BA34" s="4">
        <v>-1</v>
      </c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42"/>
      <c r="BX34" s="4"/>
      <c r="BY34" s="4"/>
      <c r="BZ34" s="4">
        <v>0</v>
      </c>
      <c r="CA34" s="4">
        <v>-5550</v>
      </c>
      <c r="CB34" s="4">
        <v>-5550</v>
      </c>
      <c r="CC34" s="4">
        <v>-5550</v>
      </c>
      <c r="CD34" s="4">
        <v>-5550</v>
      </c>
      <c r="CE34" s="4">
        <v>-5550</v>
      </c>
      <c r="CF34" s="4">
        <v>-5550</v>
      </c>
      <c r="CG34" s="4">
        <v>-5550</v>
      </c>
      <c r="CH34" s="4">
        <v>-5550</v>
      </c>
      <c r="CI34" s="4">
        <v>-5550</v>
      </c>
      <c r="CJ34" s="4">
        <v>-5550</v>
      </c>
      <c r="CK34" s="4">
        <v>-5550</v>
      </c>
    </row>
    <row r="35" spans="1:89" x14ac:dyDescent="0.2">
      <c r="A35" s="487" t="s">
        <v>447</v>
      </c>
      <c r="B35" s="487"/>
      <c r="C35" s="487">
        <v>1</v>
      </c>
      <c r="D35" s="13">
        <v>0</v>
      </c>
      <c r="E35" s="233">
        <v>0</v>
      </c>
      <c r="F35" s="234">
        <v>0</v>
      </c>
      <c r="G35" s="234">
        <v>0</v>
      </c>
      <c r="H35" s="234">
        <v>0</v>
      </c>
      <c r="I35" s="234">
        <v>0</v>
      </c>
      <c r="J35" s="234">
        <v>0</v>
      </c>
      <c r="K35" s="234">
        <v>0</v>
      </c>
      <c r="L35" s="234">
        <v>0</v>
      </c>
      <c r="M35" s="234">
        <v>0</v>
      </c>
      <c r="N35" s="234">
        <v>0</v>
      </c>
      <c r="O35" s="234">
        <v>0</v>
      </c>
      <c r="P35" s="234">
        <v>0</v>
      </c>
      <c r="Q35" s="234">
        <v>0</v>
      </c>
      <c r="R35" s="234">
        <v>0</v>
      </c>
      <c r="S35" s="234">
        <v>0</v>
      </c>
      <c r="T35" s="234">
        <v>0</v>
      </c>
      <c r="U35" s="234">
        <v>0</v>
      </c>
      <c r="V35" s="234">
        <v>0</v>
      </c>
      <c r="W35" s="234">
        <v>0</v>
      </c>
      <c r="X35" s="234">
        <v>0</v>
      </c>
      <c r="Y35" s="234">
        <v>0</v>
      </c>
      <c r="Z35" s="234">
        <v>0</v>
      </c>
      <c r="AA35" s="234">
        <v>0</v>
      </c>
      <c r="AB35" s="234">
        <v>0</v>
      </c>
      <c r="AC35" s="234">
        <v>0</v>
      </c>
      <c r="AD35" s="234">
        <v>0</v>
      </c>
      <c r="AE35" s="234">
        <v>0</v>
      </c>
      <c r="AF35" s="234">
        <v>0</v>
      </c>
      <c r="AG35" s="234">
        <v>0</v>
      </c>
      <c r="AH35" s="234">
        <v>0</v>
      </c>
      <c r="AI35" s="234">
        <v>0</v>
      </c>
      <c r="AJ35" s="234">
        <v>0</v>
      </c>
      <c r="AK35" s="234">
        <v>0</v>
      </c>
      <c r="AL35" s="234">
        <v>0</v>
      </c>
      <c r="AM35" s="234"/>
      <c r="AN35" s="234">
        <v>0</v>
      </c>
      <c r="AO35" s="234">
        <v>0</v>
      </c>
      <c r="AP35" s="234">
        <v>0</v>
      </c>
      <c r="AQ35" s="234">
        <v>0</v>
      </c>
      <c r="AR35" s="234">
        <v>0</v>
      </c>
      <c r="AS35" s="234">
        <v>0</v>
      </c>
      <c r="AT35" s="234">
        <v>0</v>
      </c>
      <c r="AU35" s="234">
        <v>0</v>
      </c>
      <c r="AV35" s="234">
        <v>0</v>
      </c>
      <c r="AW35" s="234">
        <v>0</v>
      </c>
      <c r="AX35" s="234">
        <v>0</v>
      </c>
      <c r="AY35" s="234">
        <v>0</v>
      </c>
      <c r="AZ35" s="234">
        <v>0</v>
      </c>
      <c r="BA35" s="234"/>
      <c r="BB35" s="234"/>
      <c r="BC35" s="234"/>
      <c r="BD35" s="234"/>
      <c r="BE35" s="234"/>
      <c r="BF35" s="234"/>
      <c r="BG35" s="234">
        <v>0</v>
      </c>
      <c r="BH35" s="234">
        <v>0</v>
      </c>
      <c r="BI35" s="234">
        <v>0</v>
      </c>
      <c r="BJ35" s="234">
        <v>0</v>
      </c>
      <c r="BK35" s="234">
        <v>0</v>
      </c>
      <c r="BL35" s="234">
        <v>0</v>
      </c>
      <c r="BM35" s="234">
        <v>0</v>
      </c>
      <c r="BN35" s="234">
        <v>0</v>
      </c>
      <c r="BO35" s="234">
        <v>0</v>
      </c>
      <c r="BP35" s="234">
        <v>0</v>
      </c>
      <c r="BQ35" s="234"/>
      <c r="BR35" s="234">
        <v>0</v>
      </c>
      <c r="BS35" s="234">
        <v>-75437</v>
      </c>
      <c r="BT35" s="234">
        <v>-75437</v>
      </c>
      <c r="BU35" s="234"/>
      <c r="BV35" s="234"/>
      <c r="BW35" s="443"/>
      <c r="BX35" s="234"/>
      <c r="BY35" s="234"/>
      <c r="BZ35" s="4">
        <v>0</v>
      </c>
      <c r="CA35" s="4">
        <v>-6000</v>
      </c>
      <c r="CB35" s="4">
        <v>-6000</v>
      </c>
      <c r="CC35" s="4">
        <v>-6000</v>
      </c>
      <c r="CD35" s="4">
        <v>-6000</v>
      </c>
      <c r="CE35" s="4">
        <v>-6000</v>
      </c>
      <c r="CF35" s="4">
        <v>-6000</v>
      </c>
      <c r="CG35" s="4">
        <v>-6000</v>
      </c>
      <c r="CH35" s="4">
        <v>-6000</v>
      </c>
      <c r="CI35" s="4">
        <v>-6000</v>
      </c>
      <c r="CJ35" s="4">
        <v>-6000</v>
      </c>
      <c r="CK35" s="4">
        <v>-6000</v>
      </c>
    </row>
    <row r="36" spans="1:89" x14ac:dyDescent="0.2">
      <c r="A36" s="487" t="s">
        <v>448</v>
      </c>
      <c r="B36" s="487"/>
      <c r="C36" s="487">
        <v>1</v>
      </c>
      <c r="D36" s="13"/>
      <c r="E36" s="233"/>
      <c r="F36" s="234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4"/>
      <c r="AH36" s="234"/>
      <c r="AI36" s="234"/>
      <c r="AJ36" s="234"/>
      <c r="AK36" s="234"/>
      <c r="AL36" s="234"/>
      <c r="AM36" s="234"/>
      <c r="AN36" s="234"/>
      <c r="AO36" s="234"/>
      <c r="AP36" s="234"/>
      <c r="AQ36" s="234"/>
      <c r="AR36" s="234"/>
      <c r="AS36" s="234"/>
      <c r="AT36" s="234"/>
      <c r="AU36" s="234"/>
      <c r="AV36" s="234"/>
      <c r="AW36" s="234"/>
      <c r="AX36" s="234"/>
      <c r="AY36" s="234"/>
      <c r="AZ36" s="234"/>
      <c r="BA36" s="234"/>
      <c r="BB36" s="234"/>
      <c r="BC36" s="234"/>
      <c r="BD36" s="234"/>
      <c r="BE36" s="234"/>
      <c r="BF36" s="234"/>
      <c r="BG36" s="234"/>
      <c r="BH36" s="234"/>
      <c r="BI36" s="234"/>
      <c r="BJ36" s="234"/>
      <c r="BK36" s="234"/>
      <c r="BL36" s="234"/>
      <c r="BM36" s="234"/>
      <c r="BN36" s="4"/>
      <c r="BO36" s="4"/>
      <c r="BP36" s="4"/>
      <c r="BQ36" s="4"/>
      <c r="BR36" s="4"/>
      <c r="BS36" s="4"/>
      <c r="BT36" s="4"/>
      <c r="BU36" s="4"/>
      <c r="BV36" s="4"/>
      <c r="BW36" s="442"/>
      <c r="BX36" s="4"/>
      <c r="BY36" s="4"/>
      <c r="BZ36" s="4">
        <v>0</v>
      </c>
      <c r="CA36" s="4">
        <v>-6000</v>
      </c>
      <c r="CB36" s="4">
        <v>-6000</v>
      </c>
      <c r="CC36" s="4">
        <v>-6000</v>
      </c>
      <c r="CD36" s="4">
        <v>-6000</v>
      </c>
      <c r="CE36" s="4">
        <v>-6000</v>
      </c>
      <c r="CF36" s="4">
        <v>-6000</v>
      </c>
      <c r="CG36" s="4">
        <v>-6000</v>
      </c>
      <c r="CH36" s="4">
        <v>-6000</v>
      </c>
      <c r="CI36" s="4">
        <v>-6000</v>
      </c>
      <c r="CJ36" s="4">
        <v>-6000</v>
      </c>
      <c r="CK36" s="4">
        <v>-6000</v>
      </c>
    </row>
    <row r="37" spans="1:89" x14ac:dyDescent="0.2">
      <c r="A37" s="487" t="s">
        <v>449</v>
      </c>
      <c r="B37" s="487"/>
      <c r="C37" s="487">
        <v>1</v>
      </c>
      <c r="D37" s="13"/>
      <c r="E37" s="233"/>
      <c r="F37" s="236"/>
      <c r="G37" s="236"/>
      <c r="H37" s="23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42"/>
      <c r="BX37" s="4"/>
      <c r="BY37" s="4"/>
      <c r="BZ37" s="4">
        <v>0</v>
      </c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</row>
    <row r="38" spans="1:89" x14ac:dyDescent="0.2">
      <c r="A38" s="439"/>
      <c r="B38" s="235"/>
      <c r="C38" s="235"/>
      <c r="D38" s="13"/>
      <c r="E38" s="233"/>
      <c r="F38" s="236"/>
      <c r="G38" s="236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</row>
    <row r="39" spans="1:89" x14ac:dyDescent="0.2">
      <c r="A39" s="8" t="s">
        <v>18</v>
      </c>
      <c r="B39" s="8"/>
      <c r="C39" s="5"/>
      <c r="D39" s="4">
        <f t="shared" ref="D39:BO39" si="2">SUM(D2:D38)</f>
        <v>0</v>
      </c>
      <c r="E39" s="4">
        <f t="shared" si="2"/>
        <v>0</v>
      </c>
      <c r="F39" s="4">
        <f t="shared" si="2"/>
        <v>0</v>
      </c>
      <c r="G39" s="4">
        <f t="shared" si="2"/>
        <v>0</v>
      </c>
      <c r="H39" s="4">
        <f t="shared" si="2"/>
        <v>0</v>
      </c>
      <c r="I39" s="4">
        <f t="shared" si="2"/>
        <v>0</v>
      </c>
      <c r="J39" s="4">
        <f t="shared" si="2"/>
        <v>0</v>
      </c>
      <c r="K39" s="4">
        <f t="shared" si="2"/>
        <v>0</v>
      </c>
      <c r="L39" s="4">
        <f t="shared" si="2"/>
        <v>0</v>
      </c>
      <c r="M39" s="4">
        <f t="shared" si="2"/>
        <v>0</v>
      </c>
      <c r="N39" s="4">
        <f t="shared" si="2"/>
        <v>0</v>
      </c>
      <c r="O39" s="4">
        <f t="shared" si="2"/>
        <v>0</v>
      </c>
      <c r="P39" s="4">
        <f t="shared" si="2"/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">
        <f t="shared" si="2"/>
        <v>0</v>
      </c>
      <c r="U39" s="4">
        <f t="shared" si="2"/>
        <v>0</v>
      </c>
      <c r="V39" s="4">
        <f t="shared" si="2"/>
        <v>0</v>
      </c>
      <c r="W39" s="4">
        <f t="shared" si="2"/>
        <v>0</v>
      </c>
      <c r="X39" s="4">
        <f t="shared" si="2"/>
        <v>0</v>
      </c>
      <c r="Y39" s="4">
        <f t="shared" si="2"/>
        <v>0</v>
      </c>
      <c r="Z39" s="4">
        <f t="shared" si="2"/>
        <v>0</v>
      </c>
      <c r="AA39" s="4">
        <f t="shared" si="2"/>
        <v>0</v>
      </c>
      <c r="AB39" s="4">
        <f t="shared" si="2"/>
        <v>0</v>
      </c>
      <c r="AC39" s="4">
        <f t="shared" si="2"/>
        <v>0</v>
      </c>
      <c r="AD39" s="4">
        <f t="shared" si="2"/>
        <v>0</v>
      </c>
      <c r="AE39" s="4">
        <f t="shared" si="2"/>
        <v>0</v>
      </c>
      <c r="AF39" s="4">
        <f t="shared" si="2"/>
        <v>0</v>
      </c>
      <c r="AG39" s="4">
        <f t="shared" si="2"/>
        <v>0</v>
      </c>
      <c r="AH39" s="4">
        <f t="shared" si="2"/>
        <v>0</v>
      </c>
      <c r="AI39" s="4">
        <f t="shared" si="2"/>
        <v>0</v>
      </c>
      <c r="AJ39" s="4">
        <f t="shared" si="2"/>
        <v>0</v>
      </c>
      <c r="AK39" s="4">
        <f t="shared" si="2"/>
        <v>0</v>
      </c>
      <c r="AL39" s="4">
        <f t="shared" si="2"/>
        <v>0</v>
      </c>
      <c r="AM39" s="4">
        <f t="shared" si="2"/>
        <v>0</v>
      </c>
      <c r="AN39" s="4">
        <f t="shared" si="2"/>
        <v>0</v>
      </c>
      <c r="AO39" s="4">
        <f t="shared" si="2"/>
        <v>0</v>
      </c>
      <c r="AP39" s="4">
        <f t="shared" si="2"/>
        <v>0</v>
      </c>
      <c r="AQ39" s="4">
        <f t="shared" si="2"/>
        <v>0</v>
      </c>
      <c r="AR39" s="4">
        <f t="shared" si="2"/>
        <v>0</v>
      </c>
      <c r="AS39" s="4">
        <f t="shared" si="2"/>
        <v>0</v>
      </c>
      <c r="AT39" s="4">
        <f t="shared" si="2"/>
        <v>0</v>
      </c>
      <c r="AU39" s="4">
        <f t="shared" si="2"/>
        <v>0</v>
      </c>
      <c r="AV39" s="4">
        <f t="shared" si="2"/>
        <v>0</v>
      </c>
      <c r="AW39" s="4">
        <f t="shared" si="2"/>
        <v>0</v>
      </c>
      <c r="AX39" s="4">
        <f t="shared" si="2"/>
        <v>-1</v>
      </c>
      <c r="AY39" s="4" t="e">
        <f t="shared" si="2"/>
        <v>#REF!</v>
      </c>
      <c r="AZ39" s="4">
        <f t="shared" si="2"/>
        <v>-1</v>
      </c>
      <c r="BA39" s="4">
        <f t="shared" si="2"/>
        <v>-1</v>
      </c>
      <c r="BB39" s="4">
        <f t="shared" si="2"/>
        <v>0</v>
      </c>
      <c r="BC39" s="4">
        <f t="shared" si="2"/>
        <v>0</v>
      </c>
      <c r="BD39" s="4">
        <f t="shared" si="2"/>
        <v>0</v>
      </c>
      <c r="BE39" s="4">
        <f t="shared" si="2"/>
        <v>0</v>
      </c>
      <c r="BF39" s="4">
        <f t="shared" si="2"/>
        <v>0</v>
      </c>
      <c r="BG39" s="4">
        <f t="shared" si="2"/>
        <v>0</v>
      </c>
      <c r="BH39" s="4">
        <f t="shared" si="2"/>
        <v>0</v>
      </c>
      <c r="BI39" s="4">
        <f t="shared" si="2"/>
        <v>0</v>
      </c>
      <c r="BJ39" s="4">
        <f t="shared" si="2"/>
        <v>0</v>
      </c>
      <c r="BK39" s="4" t="e">
        <f t="shared" si="2"/>
        <v>#REF!</v>
      </c>
      <c r="BL39" s="4">
        <f t="shared" si="2"/>
        <v>0</v>
      </c>
      <c r="BM39" s="4">
        <f t="shared" si="2"/>
        <v>0</v>
      </c>
      <c r="BN39" s="4" t="e">
        <f t="shared" si="2"/>
        <v>#REF!</v>
      </c>
      <c r="BO39" s="4" t="e">
        <f t="shared" si="2"/>
        <v>#REF!</v>
      </c>
      <c r="BP39" s="4" t="e">
        <f t="shared" ref="BP39:CK39" si="3">SUM(BP2:BP38)</f>
        <v>#REF!</v>
      </c>
      <c r="BQ39" s="4" t="e">
        <f t="shared" si="3"/>
        <v>#REF!</v>
      </c>
      <c r="BR39" s="4" t="e">
        <f t="shared" si="3"/>
        <v>#REF!</v>
      </c>
      <c r="BS39" s="4" t="e">
        <f t="shared" si="3"/>
        <v>#REF!</v>
      </c>
      <c r="BT39" s="4" t="e">
        <f t="shared" si="3"/>
        <v>#REF!</v>
      </c>
      <c r="BU39" s="4">
        <f t="shared" si="3"/>
        <v>0</v>
      </c>
      <c r="BV39" s="4">
        <f t="shared" si="3"/>
        <v>0</v>
      </c>
      <c r="BW39" s="442">
        <f t="shared" si="3"/>
        <v>0</v>
      </c>
      <c r="BX39" s="4" t="e">
        <f t="shared" si="3"/>
        <v>#REF!</v>
      </c>
      <c r="BY39" s="4" t="e">
        <f t="shared" si="3"/>
        <v>#REF!</v>
      </c>
      <c r="BZ39" s="4" t="e">
        <f t="shared" si="3"/>
        <v>#REF!</v>
      </c>
      <c r="CA39" s="4" t="e">
        <f t="shared" si="3"/>
        <v>#REF!</v>
      </c>
      <c r="CB39" s="4" t="e">
        <f t="shared" si="3"/>
        <v>#REF!</v>
      </c>
      <c r="CC39" s="4" t="e">
        <f t="shared" si="3"/>
        <v>#REF!</v>
      </c>
      <c r="CD39" s="4" t="e">
        <f t="shared" si="3"/>
        <v>#REF!</v>
      </c>
      <c r="CE39" s="4" t="e">
        <f t="shared" si="3"/>
        <v>#REF!</v>
      </c>
      <c r="CF39" s="4" t="e">
        <f t="shared" si="3"/>
        <v>#REF!</v>
      </c>
      <c r="CG39" s="4" t="e">
        <f t="shared" si="3"/>
        <v>#REF!</v>
      </c>
      <c r="CH39" s="4" t="e">
        <f t="shared" si="3"/>
        <v>#REF!</v>
      </c>
      <c r="CI39" s="4" t="e">
        <f t="shared" si="3"/>
        <v>#REF!</v>
      </c>
      <c r="CJ39" s="4" t="e">
        <f t="shared" si="3"/>
        <v>#REF!</v>
      </c>
      <c r="CK39" s="4" t="e">
        <f t="shared" si="3"/>
        <v>#REF!</v>
      </c>
    </row>
    <row r="40" spans="1:89" x14ac:dyDescent="0.2">
      <c r="A40" s="242" t="s">
        <v>378</v>
      </c>
      <c r="B40" s="242"/>
      <c r="C40" s="241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  <c r="AH40" s="241"/>
      <c r="AI40" s="241"/>
      <c r="AJ40" s="241"/>
      <c r="AK40" s="241"/>
      <c r="AL40" s="241"/>
      <c r="AM40" s="241"/>
      <c r="AN40" s="241"/>
      <c r="AO40" s="241"/>
      <c r="AP40" s="241"/>
      <c r="AQ40" s="241"/>
      <c r="AR40" s="241"/>
      <c r="AS40" s="241"/>
      <c r="AT40" s="241"/>
      <c r="AU40" s="241"/>
      <c r="AV40" s="241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1"/>
      <c r="BH40" s="241"/>
      <c r="BI40" s="241"/>
      <c r="BJ40" s="241"/>
      <c r="BK40" s="241"/>
      <c r="BL40" s="241"/>
      <c r="BM40" s="241"/>
      <c r="BN40" s="241"/>
      <c r="BO40" s="241"/>
      <c r="BP40" s="241"/>
      <c r="BQ40" s="241"/>
      <c r="BR40" s="241"/>
      <c r="BS40" s="241"/>
      <c r="BT40" s="241"/>
      <c r="BU40" s="241"/>
      <c r="BV40" s="241"/>
      <c r="BW40" s="241"/>
      <c r="BX40" s="444"/>
      <c r="BY40" s="444"/>
      <c r="BZ40" s="444"/>
      <c r="CA40" s="444"/>
      <c r="CB40" s="444"/>
      <c r="CC40" s="444"/>
      <c r="CD40" s="444"/>
      <c r="CE40" s="444"/>
      <c r="CF40" s="444"/>
      <c r="CG40" s="444"/>
      <c r="CH40" s="241"/>
      <c r="CI40" s="241"/>
      <c r="CJ40" s="241"/>
      <c r="CK40" s="241"/>
    </row>
    <row r="41" spans="1:89" x14ac:dyDescent="0.2">
      <c r="A41" s="5" t="s">
        <v>379</v>
      </c>
      <c r="B41" s="5"/>
      <c r="C41" s="5"/>
      <c r="D41" s="5"/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138552</v>
      </c>
      <c r="N41" s="4">
        <v>0</v>
      </c>
      <c r="O41" s="4"/>
      <c r="P41" s="4"/>
      <c r="Q41" s="4">
        <v>0</v>
      </c>
      <c r="R41" s="4">
        <v>0</v>
      </c>
      <c r="S41" s="4">
        <v>0</v>
      </c>
      <c r="T41" s="4">
        <v>0</v>
      </c>
      <c r="U41" s="4"/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145000</v>
      </c>
      <c r="AF41" s="4">
        <v>152000</v>
      </c>
      <c r="AG41" s="4"/>
      <c r="AH41" s="4">
        <v>156117</v>
      </c>
      <c r="AI41" s="4">
        <v>156178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>
        <v>104000</v>
      </c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3"/>
      <c r="CI41" s="3"/>
      <c r="CJ41" s="3"/>
      <c r="CK41" s="3"/>
    </row>
    <row r="42" spans="1:89" x14ac:dyDescent="0.2">
      <c r="A42" s="5" t="s">
        <v>380</v>
      </c>
      <c r="B42" s="5"/>
      <c r="C42" s="5"/>
      <c r="D42" s="5"/>
      <c r="E42" s="5"/>
      <c r="F42" s="5">
        <v>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>
        <v>0</v>
      </c>
      <c r="Z42" s="4"/>
      <c r="AA42" s="4">
        <v>0</v>
      </c>
      <c r="AB42" s="4">
        <v>0</v>
      </c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BA42" s="4"/>
      <c r="BB42" s="4"/>
      <c r="BC42" s="4">
        <v>50000</v>
      </c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>
        <v>374000</v>
      </c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3"/>
      <c r="CI42" s="3"/>
      <c r="CJ42" s="3"/>
      <c r="CK42" s="3"/>
    </row>
    <row r="43" spans="1:89" x14ac:dyDescent="0.2">
      <c r="A43" s="5" t="s">
        <v>381</v>
      </c>
      <c r="B43" s="5"/>
      <c r="C43" s="5"/>
      <c r="D43" s="5"/>
      <c r="E43" s="5">
        <v>0</v>
      </c>
      <c r="F43" s="5">
        <v>0</v>
      </c>
      <c r="G43" s="5">
        <v>0</v>
      </c>
      <c r="H43" s="5"/>
      <c r="I43" s="5"/>
      <c r="J43" s="5">
        <v>0</v>
      </c>
      <c r="K43" s="5">
        <v>0</v>
      </c>
      <c r="L43" s="5">
        <v>0</v>
      </c>
      <c r="M43" s="5"/>
      <c r="N43" s="5"/>
      <c r="O43" s="5"/>
      <c r="P43" s="5"/>
      <c r="Q43" s="5"/>
      <c r="R43" s="5"/>
      <c r="S43" s="5"/>
      <c r="T43" s="5">
        <v>0</v>
      </c>
      <c r="U43" s="5"/>
      <c r="V43" s="5"/>
      <c r="W43" s="5">
        <v>0</v>
      </c>
      <c r="X43" s="5">
        <v>0</v>
      </c>
      <c r="Y43" s="5">
        <v>0</v>
      </c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>
        <v>0</v>
      </c>
      <c r="BW43" s="4">
        <v>0</v>
      </c>
      <c r="BX43" s="4">
        <v>0</v>
      </c>
      <c r="BY43" s="4">
        <v>0</v>
      </c>
      <c r="BZ43" s="4">
        <v>20000</v>
      </c>
      <c r="CA43" s="4">
        <v>20000</v>
      </c>
      <c r="CB43" s="4">
        <v>20000</v>
      </c>
      <c r="CC43" s="4">
        <v>20000</v>
      </c>
      <c r="CD43" s="4">
        <v>20000</v>
      </c>
      <c r="CE43" s="4">
        <v>20000</v>
      </c>
      <c r="CF43" s="4">
        <v>20000</v>
      </c>
      <c r="CG43" s="4">
        <v>20000</v>
      </c>
      <c r="CH43" s="3"/>
      <c r="CI43" s="3"/>
      <c r="CJ43" s="3"/>
      <c r="CK43" s="3"/>
    </row>
    <row r="44" spans="1:89" x14ac:dyDescent="0.2">
      <c r="A44" s="5" t="s">
        <v>382</v>
      </c>
      <c r="B44" s="5"/>
      <c r="C44" s="5"/>
      <c r="D44" s="5"/>
      <c r="E44" s="5">
        <v>0</v>
      </c>
      <c r="F44" s="5">
        <v>0</v>
      </c>
      <c r="G44" s="5">
        <v>0</v>
      </c>
      <c r="H44" s="5"/>
      <c r="I44" s="5"/>
      <c r="J44" s="5">
        <v>0</v>
      </c>
      <c r="K44" s="5">
        <v>0</v>
      </c>
      <c r="L44" s="5">
        <v>0</v>
      </c>
      <c r="M44" s="5"/>
      <c r="N44" s="5"/>
      <c r="O44" s="5"/>
      <c r="P44" s="5"/>
      <c r="Q44" s="5"/>
      <c r="R44" s="5"/>
      <c r="S44" s="5">
        <v>0</v>
      </c>
      <c r="T44" s="5">
        <v>0</v>
      </c>
      <c r="U44" s="5"/>
      <c r="V44" s="5"/>
      <c r="W44" s="5">
        <v>0</v>
      </c>
      <c r="X44" s="5">
        <v>0</v>
      </c>
      <c r="Y44" s="5">
        <v>0</v>
      </c>
      <c r="Z44" s="4"/>
      <c r="AA44" s="4">
        <v>0</v>
      </c>
      <c r="AB44" s="4">
        <v>0</v>
      </c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>
        <v>0</v>
      </c>
      <c r="BW44" s="442">
        <v>0</v>
      </c>
      <c r="BX44" s="4">
        <v>0</v>
      </c>
      <c r="BY44" s="4"/>
      <c r="BZ44" s="4"/>
      <c r="CA44" s="4"/>
      <c r="CB44" s="4"/>
      <c r="CC44" s="4"/>
      <c r="CD44" s="4"/>
      <c r="CE44" s="4"/>
      <c r="CF44" s="4"/>
      <c r="CG44" s="4"/>
      <c r="CH44" s="3"/>
      <c r="CI44" s="3"/>
      <c r="CJ44" s="3"/>
      <c r="CK44" s="3"/>
    </row>
    <row r="45" spans="1:89" x14ac:dyDescent="0.2">
      <c r="A45" s="5" t="s">
        <v>383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>
        <v>0</v>
      </c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>
        <v>0</v>
      </c>
      <c r="BW45" s="442"/>
      <c r="BX45" s="4"/>
      <c r="BY45" s="4"/>
      <c r="BZ45" s="4">
        <v>2000</v>
      </c>
      <c r="CA45" s="4"/>
      <c r="CB45" s="4"/>
      <c r="CC45" s="4"/>
      <c r="CD45" s="4"/>
      <c r="CE45" s="4"/>
      <c r="CF45" s="4"/>
      <c r="CG45" s="4"/>
      <c r="CH45" s="3"/>
      <c r="CI45" s="3"/>
      <c r="CJ45" s="3"/>
      <c r="CK45" s="3"/>
    </row>
    <row r="46" spans="1:89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>
        <v>0</v>
      </c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42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3"/>
      <c r="CI46" s="3"/>
      <c r="CJ46" s="3"/>
      <c r="CK46" s="3"/>
    </row>
    <row r="47" spans="1:89" x14ac:dyDescent="0.2">
      <c r="A47" s="5" t="s">
        <v>384</v>
      </c>
      <c r="B47" s="5"/>
      <c r="C47" s="5"/>
      <c r="D47" s="5"/>
      <c r="E47" s="5"/>
      <c r="F47" s="5">
        <v>0</v>
      </c>
      <c r="G47" s="5">
        <v>0</v>
      </c>
      <c r="H47" s="5"/>
      <c r="I47" s="5"/>
      <c r="J47" s="5">
        <v>0</v>
      </c>
      <c r="K47" s="5"/>
      <c r="L47" s="5">
        <v>0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42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3"/>
      <c r="CI47" s="3"/>
      <c r="CJ47" s="3"/>
      <c r="CK47" s="3"/>
    </row>
    <row r="48" spans="1:89" x14ac:dyDescent="0.2">
      <c r="A48" s="5" t="s">
        <v>385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v>0</v>
      </c>
      <c r="X48" s="5"/>
      <c r="Y48" s="5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42"/>
      <c r="BX48" s="4"/>
      <c r="BY48" s="4"/>
      <c r="BZ48" s="4">
        <v>-36400</v>
      </c>
      <c r="CA48" s="4"/>
      <c r="CB48" s="4"/>
      <c r="CC48" s="4"/>
      <c r="CD48" s="4"/>
      <c r="CE48" s="4"/>
      <c r="CF48" s="4"/>
      <c r="CG48" s="4"/>
      <c r="CH48" s="3"/>
      <c r="CI48" s="3"/>
      <c r="CJ48" s="3"/>
      <c r="CK48" s="3"/>
    </row>
    <row r="49" spans="1:149" x14ac:dyDescent="0.2">
      <c r="A49" s="5" t="s">
        <v>291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>
        <v>0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v>0</v>
      </c>
      <c r="X49" s="5"/>
      <c r="Y49" s="5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>
        <v>0</v>
      </c>
      <c r="BY49" s="4">
        <v>0</v>
      </c>
      <c r="BZ49" s="4">
        <v>0</v>
      </c>
      <c r="CA49" s="4">
        <v>-10000</v>
      </c>
      <c r="CB49" s="4"/>
      <c r="CC49" s="4"/>
      <c r="CD49" s="4"/>
      <c r="CE49" s="4"/>
      <c r="CF49" s="4"/>
      <c r="CG49" s="4"/>
      <c r="CH49" s="3"/>
      <c r="CI49" s="3"/>
      <c r="CJ49" s="3"/>
      <c r="CK49" s="3"/>
    </row>
    <row r="50" spans="1:149" x14ac:dyDescent="0.2">
      <c r="A50" s="5"/>
      <c r="B50" s="5"/>
      <c r="C50" s="5"/>
      <c r="D50" s="5"/>
      <c r="E50" s="5"/>
      <c r="F50" s="5">
        <v>0</v>
      </c>
      <c r="G50" s="5">
        <v>0</v>
      </c>
      <c r="H50" s="5"/>
      <c r="I50" s="5"/>
      <c r="J50" s="5"/>
      <c r="K50" s="5"/>
      <c r="L50" s="5"/>
      <c r="M50" s="5"/>
      <c r="N50" s="5">
        <v>0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>
        <v>0</v>
      </c>
      <c r="Z50" s="4"/>
      <c r="AA50" s="4"/>
      <c r="AB50" s="4">
        <v>5500</v>
      </c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42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3"/>
      <c r="CI50" s="3"/>
      <c r="CJ50" s="3"/>
      <c r="CK50" s="3"/>
    </row>
    <row r="51" spans="1:149" x14ac:dyDescent="0.2">
      <c r="A51" s="8" t="s">
        <v>386</v>
      </c>
      <c r="B51" s="8"/>
      <c r="C51" s="5"/>
      <c r="D51" s="4">
        <f>SUM(D39:D50)</f>
        <v>0</v>
      </c>
      <c r="E51" s="4">
        <f>SUM(E39:E50)</f>
        <v>0</v>
      </c>
      <c r="F51" s="4">
        <f t="shared" ref="F51:AJ51" si="4">SUM(F39:F50)</f>
        <v>0</v>
      </c>
      <c r="G51" s="4">
        <f t="shared" si="4"/>
        <v>0</v>
      </c>
      <c r="H51" s="4">
        <f t="shared" si="4"/>
        <v>0</v>
      </c>
      <c r="I51" s="4">
        <f t="shared" si="4"/>
        <v>0</v>
      </c>
      <c r="J51" s="4">
        <f t="shared" si="4"/>
        <v>0</v>
      </c>
      <c r="K51" s="4">
        <f t="shared" si="4"/>
        <v>0</v>
      </c>
      <c r="L51" s="4">
        <f t="shared" si="4"/>
        <v>0</v>
      </c>
      <c r="M51" s="4">
        <f t="shared" si="4"/>
        <v>138552</v>
      </c>
      <c r="N51" s="4">
        <f t="shared" si="4"/>
        <v>0</v>
      </c>
      <c r="O51" s="4">
        <f t="shared" si="4"/>
        <v>0</v>
      </c>
      <c r="P51" s="4">
        <f t="shared" si="4"/>
        <v>0</v>
      </c>
      <c r="Q51" s="4">
        <f t="shared" si="4"/>
        <v>0</v>
      </c>
      <c r="R51" s="4">
        <f t="shared" si="4"/>
        <v>0</v>
      </c>
      <c r="S51" s="4">
        <f t="shared" si="4"/>
        <v>0</v>
      </c>
      <c r="T51" s="4">
        <f t="shared" si="4"/>
        <v>0</v>
      </c>
      <c r="U51" s="4">
        <f t="shared" si="4"/>
        <v>0</v>
      </c>
      <c r="V51" s="4">
        <f t="shared" si="4"/>
        <v>0</v>
      </c>
      <c r="W51" s="4">
        <f t="shared" si="4"/>
        <v>0</v>
      </c>
      <c r="X51" s="4">
        <f t="shared" si="4"/>
        <v>0</v>
      </c>
      <c r="Y51" s="4">
        <f t="shared" si="4"/>
        <v>0</v>
      </c>
      <c r="Z51" s="4">
        <f t="shared" si="4"/>
        <v>0</v>
      </c>
      <c r="AA51" s="4">
        <f t="shared" si="4"/>
        <v>0</v>
      </c>
      <c r="AB51" s="4">
        <f t="shared" si="4"/>
        <v>5500</v>
      </c>
      <c r="AC51" s="4">
        <f t="shared" si="4"/>
        <v>0</v>
      </c>
      <c r="AD51" s="4">
        <f t="shared" si="4"/>
        <v>0</v>
      </c>
      <c r="AE51" s="4">
        <f t="shared" si="4"/>
        <v>145000</v>
      </c>
      <c r="AF51" s="4">
        <f t="shared" si="4"/>
        <v>152000</v>
      </c>
      <c r="AG51" s="4">
        <f t="shared" si="4"/>
        <v>0</v>
      </c>
      <c r="AH51" s="4">
        <f t="shared" si="4"/>
        <v>156117</v>
      </c>
      <c r="AI51" s="4">
        <f t="shared" si="4"/>
        <v>156178</v>
      </c>
      <c r="AJ51" s="4">
        <f t="shared" si="4"/>
        <v>0</v>
      </c>
      <c r="AK51" s="4">
        <f>SUM(AK39:AK50)</f>
        <v>0</v>
      </c>
      <c r="AL51" s="4">
        <f>SUM(AL39:AL50)</f>
        <v>0</v>
      </c>
      <c r="AM51" s="4">
        <f>SUM(AM39:AM50)</f>
        <v>0</v>
      </c>
      <c r="AN51" s="4">
        <f>SUM(AN39:AN50)</f>
        <v>0</v>
      </c>
      <c r="AO51" s="4">
        <f t="shared" ref="AO51:AV51" si="5">SUM(AO39:AO50)</f>
        <v>0</v>
      </c>
      <c r="AP51" s="4">
        <f t="shared" si="5"/>
        <v>0</v>
      </c>
      <c r="AQ51" s="4">
        <f t="shared" si="5"/>
        <v>0</v>
      </c>
      <c r="AR51" s="4">
        <f t="shared" si="5"/>
        <v>0</v>
      </c>
      <c r="AS51" s="4">
        <f t="shared" si="5"/>
        <v>0</v>
      </c>
      <c r="AT51" s="4">
        <f t="shared" si="5"/>
        <v>0</v>
      </c>
      <c r="AU51" s="4">
        <f t="shared" si="5"/>
        <v>0</v>
      </c>
      <c r="AV51" s="4">
        <f t="shared" si="5"/>
        <v>0</v>
      </c>
      <c r="AW51" s="4">
        <f>SUM(AW39:AW50)</f>
        <v>0</v>
      </c>
      <c r="AX51" s="4">
        <f>SUM(AX39:AX50)</f>
        <v>-1</v>
      </c>
      <c r="AY51" s="4" t="e">
        <f>SUM(AY39:AY50)</f>
        <v>#REF!</v>
      </c>
      <c r="AZ51" s="4">
        <f>SUM(AZ39:AZ50)</f>
        <v>-1</v>
      </c>
      <c r="BA51" s="4">
        <f t="shared" ref="BA51:CG51" si="6">SUM(BA39:BA50)</f>
        <v>-1</v>
      </c>
      <c r="BB51" s="4">
        <f t="shared" si="6"/>
        <v>0</v>
      </c>
      <c r="BC51" s="4">
        <f t="shared" si="6"/>
        <v>50000</v>
      </c>
      <c r="BD51" s="4">
        <f t="shared" si="6"/>
        <v>0</v>
      </c>
      <c r="BE51" s="4">
        <f t="shared" si="6"/>
        <v>0</v>
      </c>
      <c r="BF51" s="4">
        <f t="shared" si="6"/>
        <v>0</v>
      </c>
      <c r="BG51" s="4">
        <f t="shared" si="6"/>
        <v>104000</v>
      </c>
      <c r="BH51" s="4">
        <f t="shared" si="6"/>
        <v>0</v>
      </c>
      <c r="BI51" s="4">
        <f t="shared" si="6"/>
        <v>0</v>
      </c>
      <c r="BJ51" s="4">
        <f t="shared" si="6"/>
        <v>0</v>
      </c>
      <c r="BK51" s="4" t="e">
        <f t="shared" si="6"/>
        <v>#REF!</v>
      </c>
      <c r="BL51" s="4">
        <f t="shared" si="6"/>
        <v>0</v>
      </c>
      <c r="BM51" s="4">
        <f t="shared" si="6"/>
        <v>0</v>
      </c>
      <c r="BN51" s="4" t="e">
        <f t="shared" si="6"/>
        <v>#REF!</v>
      </c>
      <c r="BO51" s="4" t="e">
        <f t="shared" si="6"/>
        <v>#REF!</v>
      </c>
      <c r="BP51" s="4" t="e">
        <f t="shared" si="6"/>
        <v>#REF!</v>
      </c>
      <c r="BQ51" s="4" t="e">
        <f t="shared" si="6"/>
        <v>#REF!</v>
      </c>
      <c r="BR51" s="4" t="e">
        <f t="shared" si="6"/>
        <v>#REF!</v>
      </c>
      <c r="BS51" s="4" t="e">
        <f t="shared" si="6"/>
        <v>#REF!</v>
      </c>
      <c r="BT51" s="4" t="e">
        <f t="shared" si="6"/>
        <v>#REF!</v>
      </c>
      <c r="BU51" s="4">
        <f t="shared" si="6"/>
        <v>0</v>
      </c>
      <c r="BV51" s="4">
        <f t="shared" si="6"/>
        <v>0</v>
      </c>
      <c r="BW51" s="442">
        <f t="shared" si="6"/>
        <v>0</v>
      </c>
      <c r="BX51" s="4" t="e">
        <f t="shared" si="6"/>
        <v>#REF!</v>
      </c>
      <c r="BY51" s="4" t="e">
        <f t="shared" si="6"/>
        <v>#REF!</v>
      </c>
      <c r="BZ51" s="4" t="e">
        <f t="shared" si="6"/>
        <v>#REF!</v>
      </c>
      <c r="CA51" s="4" t="e">
        <f t="shared" si="6"/>
        <v>#REF!</v>
      </c>
      <c r="CB51" s="4" t="e">
        <f t="shared" si="6"/>
        <v>#REF!</v>
      </c>
      <c r="CC51" s="4" t="e">
        <f t="shared" si="6"/>
        <v>#REF!</v>
      </c>
      <c r="CD51" s="4" t="e">
        <f t="shared" si="6"/>
        <v>#REF!</v>
      </c>
      <c r="CE51" s="4" t="e">
        <f t="shared" si="6"/>
        <v>#REF!</v>
      </c>
      <c r="CF51" s="4" t="e">
        <f t="shared" si="6"/>
        <v>#REF!</v>
      </c>
      <c r="CG51" s="4" t="e">
        <f t="shared" si="6"/>
        <v>#REF!</v>
      </c>
      <c r="CH51" s="3"/>
      <c r="CI51" s="3"/>
      <c r="CJ51" s="3"/>
      <c r="CK51" s="3"/>
    </row>
    <row r="52" spans="1:149" x14ac:dyDescent="0.2">
      <c r="AC52" s="2">
        <f>AC42*1.5/100</f>
        <v>0</v>
      </c>
    </row>
    <row r="53" spans="1:149" ht="38.25" x14ac:dyDescent="0.2">
      <c r="AW53" s="84" t="s">
        <v>387</v>
      </c>
      <c r="AX53" s="84" t="s">
        <v>388</v>
      </c>
      <c r="AY53" s="2" t="s">
        <v>389</v>
      </c>
      <c r="AZ53" s="2" t="s">
        <v>390</v>
      </c>
      <c r="CE53" s="5" t="s">
        <v>18</v>
      </c>
      <c r="CF53" s="4">
        <f>SUM(CF54:CF71)</f>
        <v>300000</v>
      </c>
    </row>
    <row r="54" spans="1:149" x14ac:dyDescent="0.2">
      <c r="CE54" s="448">
        <v>44448</v>
      </c>
      <c r="CF54" s="4">
        <v>15000</v>
      </c>
      <c r="CZ54" s="613" t="s">
        <v>391</v>
      </c>
      <c r="DA54" s="613"/>
      <c r="DB54" s="613"/>
      <c r="DF54" s="8"/>
      <c r="DG54" s="111" t="s">
        <v>291</v>
      </c>
      <c r="DS54" s="2" t="s">
        <v>392</v>
      </c>
      <c r="DT54" s="2">
        <v>565640.95999999996</v>
      </c>
      <c r="DU54" s="2">
        <v>43</v>
      </c>
      <c r="DV54" s="2">
        <v>11</v>
      </c>
    </row>
    <row r="55" spans="1:149" x14ac:dyDescent="0.2">
      <c r="CE55" s="448">
        <v>44681</v>
      </c>
      <c r="CF55" s="4">
        <v>25000</v>
      </c>
      <c r="CZ55" s="606" t="s">
        <v>393</v>
      </c>
      <c r="DA55" s="606"/>
      <c r="DB55" s="5">
        <v>49888</v>
      </c>
      <c r="DF55" s="5" t="s">
        <v>394</v>
      </c>
      <c r="DG55" s="4">
        <v>14143</v>
      </c>
      <c r="DS55" s="2" t="s">
        <v>395</v>
      </c>
      <c r="DT55" s="2">
        <v>503705.82</v>
      </c>
      <c r="DU55" s="2">
        <v>44</v>
      </c>
      <c r="DV55" s="2">
        <v>14</v>
      </c>
      <c r="DW55" s="124">
        <v>521537</v>
      </c>
    </row>
    <row r="56" spans="1:149" x14ac:dyDescent="0.2">
      <c r="CE56" s="448">
        <v>44712</v>
      </c>
      <c r="CF56" s="4">
        <v>25000</v>
      </c>
      <c r="CZ56" s="606" t="s">
        <v>396</v>
      </c>
      <c r="DA56" s="606"/>
      <c r="DB56" s="5">
        <v>17500</v>
      </c>
      <c r="DF56" s="5" t="s">
        <v>394</v>
      </c>
      <c r="DG56" s="4">
        <v>30920</v>
      </c>
      <c r="DS56" s="2" t="s">
        <v>397</v>
      </c>
      <c r="ER56" s="102" t="s">
        <v>398</v>
      </c>
      <c r="ES56" s="102"/>
    </row>
    <row r="57" spans="1:149" ht="14.85" customHeight="1" x14ac:dyDescent="0.2">
      <c r="CE57" s="448">
        <v>44744</v>
      </c>
      <c r="CF57" s="4">
        <v>25000</v>
      </c>
      <c r="CZ57" s="606" t="s">
        <v>399</v>
      </c>
      <c r="DA57" s="606"/>
      <c r="DB57" s="5">
        <v>61700</v>
      </c>
      <c r="DD57" s="614" t="s">
        <v>400</v>
      </c>
      <c r="DE57" s="615"/>
      <c r="DF57" s="5" t="s">
        <v>401</v>
      </c>
      <c r="DG57" s="4">
        <v>14000</v>
      </c>
      <c r="DS57" s="2" t="s">
        <v>402</v>
      </c>
      <c r="EA57" s="610" t="s">
        <v>403</v>
      </c>
      <c r="EB57" s="611"/>
      <c r="EC57" s="611"/>
      <c r="ED57" s="611"/>
      <c r="EE57" s="611"/>
      <c r="EF57" s="612"/>
      <c r="EH57" s="440" t="s">
        <v>404</v>
      </c>
      <c r="EI57" s="440"/>
      <c r="EJ57" s="440"/>
      <c r="EK57" s="440"/>
      <c r="EL57" s="440"/>
      <c r="EM57" s="440"/>
      <c r="ER57" s="2">
        <v>1</v>
      </c>
      <c r="ES57" s="2">
        <v>2472.2600000000002</v>
      </c>
    </row>
    <row r="58" spans="1:149" x14ac:dyDescent="0.2">
      <c r="CE58" s="448">
        <v>44763</v>
      </c>
      <c r="CF58" s="4">
        <v>5000</v>
      </c>
      <c r="CZ58" s="606" t="s">
        <v>405</v>
      </c>
      <c r="DA58" s="606"/>
      <c r="DB58" s="5">
        <v>-20000</v>
      </c>
      <c r="DD58" s="102"/>
      <c r="DF58" s="5" t="s">
        <v>406</v>
      </c>
      <c r="DG58" s="4">
        <v>100000</v>
      </c>
      <c r="EA58" s="5"/>
      <c r="EB58" s="5"/>
      <c r="EC58" s="5" t="s">
        <v>352</v>
      </c>
      <c r="ED58" s="5" t="s">
        <v>17</v>
      </c>
      <c r="EE58" s="5" t="s">
        <v>254</v>
      </c>
      <c r="EF58" s="5" t="s">
        <v>18</v>
      </c>
      <c r="EH58" s="5"/>
      <c r="EI58" s="5"/>
      <c r="EJ58" s="5" t="s">
        <v>352</v>
      </c>
      <c r="EK58" s="5" t="s">
        <v>17</v>
      </c>
      <c r="EL58" s="5" t="s">
        <v>254</v>
      </c>
      <c r="EM58" s="5" t="s">
        <v>18</v>
      </c>
      <c r="ER58" s="2">
        <v>2</v>
      </c>
      <c r="ES58" s="2">
        <v>2355.44</v>
      </c>
    </row>
    <row r="59" spans="1:149" x14ac:dyDescent="0.2">
      <c r="CE59" s="448">
        <v>44775</v>
      </c>
      <c r="CF59" s="4">
        <v>25000</v>
      </c>
      <c r="CZ59" s="95"/>
      <c r="DA59" s="95"/>
      <c r="DB59" s="5"/>
      <c r="DD59" s="102"/>
      <c r="DF59" s="5"/>
      <c r="DG59" s="4"/>
      <c r="EA59" s="5"/>
      <c r="EB59" s="5" t="s">
        <v>367</v>
      </c>
      <c r="EC59" s="5">
        <v>199</v>
      </c>
      <c r="ED59" s="5"/>
      <c r="EE59" s="5">
        <f>EC59*18/100</f>
        <v>35.82</v>
      </c>
      <c r="EF59" s="5">
        <f>SUM(EC59:EE59)</f>
        <v>234.82</v>
      </c>
      <c r="EH59" s="5"/>
      <c r="EI59" s="5" t="s">
        <v>367</v>
      </c>
      <c r="EJ59" s="5">
        <v>199</v>
      </c>
      <c r="EK59" s="5"/>
      <c r="EL59" s="5">
        <f>EJ59*18/100</f>
        <v>35.82</v>
      </c>
      <c r="EM59" s="5">
        <f>SUM(EJ59:EL59)</f>
        <v>234.82</v>
      </c>
    </row>
    <row r="60" spans="1:149" x14ac:dyDescent="0.2">
      <c r="CE60" s="448">
        <v>44816</v>
      </c>
      <c r="CF60" s="4">
        <v>25000</v>
      </c>
      <c r="CZ60" s="606" t="s">
        <v>407</v>
      </c>
      <c r="DA60" s="606"/>
      <c r="DB60" s="5">
        <v>-10000</v>
      </c>
      <c r="DF60" s="5" t="s">
        <v>406</v>
      </c>
      <c r="DG60" s="4">
        <v>46500</v>
      </c>
      <c r="EA60" s="390">
        <v>44470</v>
      </c>
      <c r="EB60" s="5" t="s">
        <v>408</v>
      </c>
      <c r="EC60" s="163">
        <v>5414.21</v>
      </c>
      <c r="ED60" s="5">
        <v>391.02</v>
      </c>
      <c r="EE60" s="5">
        <f>ED60*18/100</f>
        <v>70.383600000000001</v>
      </c>
      <c r="EF60" s="5">
        <f t="shared" ref="EF60:EF65" si="7">SUM(EC60:EE60)</f>
        <v>5875.6135999999997</v>
      </c>
      <c r="EH60" s="390">
        <v>44398</v>
      </c>
      <c r="EI60" s="5" t="s">
        <v>408</v>
      </c>
      <c r="EJ60" s="163">
        <v>7546.29</v>
      </c>
      <c r="EK60" s="5">
        <v>343.83</v>
      </c>
      <c r="EL60" s="5">
        <f>EK60*18/100</f>
        <v>61.889399999999995</v>
      </c>
      <c r="EM60" s="5">
        <f t="shared" ref="EM60:EM62" si="8">SUM(EJ60:EL60)</f>
        <v>7952.0093999999999</v>
      </c>
    </row>
    <row r="61" spans="1:149" x14ac:dyDescent="0.2">
      <c r="CE61" s="448">
        <v>44839</v>
      </c>
      <c r="CF61" s="4">
        <v>25000</v>
      </c>
      <c r="CZ61" s="606" t="s">
        <v>409</v>
      </c>
      <c r="DA61" s="606"/>
      <c r="DB61" s="5">
        <v>-40000</v>
      </c>
      <c r="DF61" s="5" t="s">
        <v>410</v>
      </c>
      <c r="DG61" s="4">
        <v>39500</v>
      </c>
      <c r="DS61" s="2" t="s">
        <v>18</v>
      </c>
      <c r="DT61" s="2">
        <f>SUM(DT54:DT60)</f>
        <v>1069346.78</v>
      </c>
      <c r="EA61" s="5"/>
      <c r="EB61" s="5" t="s">
        <v>411</v>
      </c>
      <c r="EC61" s="5"/>
      <c r="ED61" s="5"/>
      <c r="EE61" s="5"/>
      <c r="EF61" s="5">
        <f t="shared" si="7"/>
        <v>0</v>
      </c>
      <c r="EH61" s="390">
        <v>44429</v>
      </c>
      <c r="EI61" s="5" t="s">
        <v>411</v>
      </c>
      <c r="EJ61" s="163">
        <v>7640.62</v>
      </c>
      <c r="EK61" s="5">
        <v>192.2</v>
      </c>
      <c r="EL61" s="5">
        <f t="shared" ref="EL61:EL62" si="9">EK61*18/100</f>
        <v>34.595999999999997</v>
      </c>
      <c r="EM61" s="5">
        <f t="shared" si="8"/>
        <v>7867.4159999999993</v>
      </c>
    </row>
    <row r="62" spans="1:149" x14ac:dyDescent="0.2">
      <c r="CE62" s="448">
        <v>44928</v>
      </c>
      <c r="CF62" s="4">
        <v>25000</v>
      </c>
      <c r="CZ62" s="606"/>
      <c r="DA62" s="606"/>
      <c r="DB62" s="5"/>
      <c r="DF62" s="5" t="s">
        <v>412</v>
      </c>
      <c r="DG62" s="4">
        <v>3000</v>
      </c>
      <c r="EA62" s="5"/>
      <c r="EB62" s="5" t="s">
        <v>413</v>
      </c>
      <c r="EC62" s="5"/>
      <c r="ED62" s="5"/>
      <c r="EE62" s="5"/>
      <c r="EF62" s="5">
        <f t="shared" si="7"/>
        <v>0</v>
      </c>
      <c r="EH62" s="390">
        <v>44460</v>
      </c>
      <c r="EI62" s="5" t="s">
        <v>413</v>
      </c>
      <c r="EJ62" s="163">
        <v>7736.09</v>
      </c>
      <c r="EK62" s="5">
        <v>96.7</v>
      </c>
      <c r="EL62" s="5">
        <f t="shared" si="9"/>
        <v>17.406000000000002</v>
      </c>
      <c r="EM62" s="5">
        <f t="shared" si="8"/>
        <v>7850.1959999999999</v>
      </c>
    </row>
    <row r="63" spans="1:149" x14ac:dyDescent="0.2">
      <c r="CE63" s="448">
        <v>44928</v>
      </c>
      <c r="CF63" s="4">
        <v>25000</v>
      </c>
      <c r="CZ63" s="608" t="s">
        <v>18</v>
      </c>
      <c r="DA63" s="609"/>
      <c r="DB63" s="5">
        <f>SUM(DB55:DB62)</f>
        <v>59088</v>
      </c>
      <c r="DF63" s="5"/>
      <c r="DG63" s="4"/>
      <c r="EA63" s="5"/>
      <c r="EB63" s="5" t="s">
        <v>414</v>
      </c>
      <c r="EC63" s="5"/>
      <c r="ED63" s="5"/>
      <c r="EE63" s="5"/>
      <c r="EF63" s="5">
        <f t="shared" si="7"/>
        <v>0</v>
      </c>
      <c r="EH63" s="390"/>
      <c r="EI63" s="5"/>
      <c r="EJ63" s="5"/>
      <c r="EK63" s="5"/>
      <c r="EL63" s="5" t="s">
        <v>18</v>
      </c>
      <c r="EM63" s="5">
        <f>SUM(EM59:EM62)</f>
        <v>23904.4414</v>
      </c>
    </row>
    <row r="64" spans="1:149" x14ac:dyDescent="0.2">
      <c r="CE64" s="448">
        <v>45007</v>
      </c>
      <c r="CF64" s="4">
        <v>25000</v>
      </c>
      <c r="DF64" s="5" t="s">
        <v>415</v>
      </c>
      <c r="DG64" s="4">
        <v>8844</v>
      </c>
      <c r="EA64" s="5"/>
      <c r="EB64" s="5" t="s">
        <v>416</v>
      </c>
      <c r="EC64" s="5"/>
      <c r="ED64" s="5"/>
      <c r="EE64" s="5"/>
      <c r="EF64" s="5">
        <f t="shared" si="7"/>
        <v>0</v>
      </c>
      <c r="EH64" s="390"/>
      <c r="EI64" s="5"/>
      <c r="EJ64" s="5"/>
      <c r="EK64" s="243"/>
      <c r="EL64" s="243">
        <v>44399</v>
      </c>
      <c r="EM64" s="5">
        <v>-10000</v>
      </c>
    </row>
    <row r="65" spans="83:143" x14ac:dyDescent="0.2">
      <c r="CE65" s="448">
        <v>45043</v>
      </c>
      <c r="CF65" s="4">
        <v>25000</v>
      </c>
      <c r="DF65" s="5" t="s">
        <v>415</v>
      </c>
      <c r="DG65" s="4">
        <v>16238</v>
      </c>
      <c r="EA65" s="5"/>
      <c r="EB65" s="5" t="s">
        <v>417</v>
      </c>
      <c r="EC65" s="5"/>
      <c r="ED65" s="5"/>
      <c r="EE65" s="5"/>
      <c r="EF65" s="5">
        <f t="shared" si="7"/>
        <v>0</v>
      </c>
      <c r="EH65" s="390"/>
      <c r="EI65" s="5"/>
      <c r="EJ65" s="5"/>
      <c r="EK65" s="5"/>
      <c r="EL65" s="243">
        <v>44427</v>
      </c>
      <c r="EM65" s="5">
        <v>-10000</v>
      </c>
    </row>
    <row r="66" spans="83:143" x14ac:dyDescent="0.2">
      <c r="CE66" s="448">
        <v>45073</v>
      </c>
      <c r="CF66" s="375">
        <v>30000</v>
      </c>
      <c r="DF66" s="5" t="s">
        <v>418</v>
      </c>
      <c r="DG66" s="4">
        <v>-49669.22</v>
      </c>
      <c r="EA66" s="5"/>
      <c r="EB66" s="5"/>
      <c r="EC66" s="5"/>
      <c r="ED66" s="5"/>
      <c r="EE66" s="5" t="s">
        <v>18</v>
      </c>
      <c r="EF66" s="5">
        <f>SUM(EF59:EF65)</f>
        <v>6110.4335999999994</v>
      </c>
      <c r="EH66" s="390"/>
      <c r="EI66" s="5"/>
      <c r="EJ66" s="5"/>
      <c r="EK66" s="5"/>
      <c r="EL66" s="5"/>
      <c r="EM66" s="5"/>
    </row>
    <row r="67" spans="83:143" x14ac:dyDescent="0.2">
      <c r="CE67" s="448"/>
      <c r="CF67" s="4"/>
      <c r="CM67" s="170"/>
      <c r="CN67" s="170"/>
      <c r="CO67" s="170"/>
      <c r="CP67" s="170"/>
      <c r="CQ67" s="170"/>
      <c r="CR67" s="170"/>
      <c r="CS67" s="170"/>
      <c r="CT67" s="170"/>
      <c r="CU67" s="170"/>
      <c r="CV67" s="8" t="s">
        <v>419</v>
      </c>
      <c r="CW67" s="8"/>
      <c r="CX67" s="8"/>
      <c r="DF67" s="5" t="s">
        <v>420</v>
      </c>
      <c r="DG67" s="4">
        <v>-50000</v>
      </c>
      <c r="DH67" s="170"/>
      <c r="EH67" s="390"/>
      <c r="EI67" s="5"/>
      <c r="EJ67" s="5"/>
      <c r="EK67" s="5"/>
      <c r="EL67" s="5" t="s">
        <v>0</v>
      </c>
      <c r="EM67" s="5">
        <f>SUM(EM63:EM65)</f>
        <v>3904.4413999999997</v>
      </c>
    </row>
    <row r="68" spans="83:143" x14ac:dyDescent="0.2">
      <c r="CE68" s="448"/>
      <c r="CF68" s="4"/>
      <c r="CV68" s="5" t="s">
        <v>421</v>
      </c>
      <c r="CW68" s="4">
        <v>360000</v>
      </c>
      <c r="CX68" s="4"/>
      <c r="DB68" s="2">
        <v>145000</v>
      </c>
      <c r="DF68" s="5" t="s">
        <v>422</v>
      </c>
      <c r="DG68" s="4">
        <v>-100000</v>
      </c>
      <c r="EH68" s="391"/>
    </row>
    <row r="69" spans="83:143" x14ac:dyDescent="0.2">
      <c r="CE69" s="448"/>
      <c r="CF69" s="4"/>
      <c r="CV69" s="5" t="s">
        <v>423</v>
      </c>
      <c r="CW69" s="4">
        <v>-9000</v>
      </c>
      <c r="CX69" s="4"/>
      <c r="DB69" s="2">
        <v>-54276</v>
      </c>
      <c r="DF69" s="5" t="s">
        <v>424</v>
      </c>
      <c r="DG69" s="4">
        <v>-50000</v>
      </c>
      <c r="EH69" s="391"/>
    </row>
    <row r="70" spans="83:143" x14ac:dyDescent="0.2">
      <c r="CE70" s="448"/>
      <c r="CF70" s="4"/>
      <c r="CV70" s="5" t="s">
        <v>425</v>
      </c>
      <c r="CW70" s="4">
        <v>-336580.72</v>
      </c>
      <c r="CX70" s="4"/>
      <c r="DF70" s="5" t="s">
        <v>426</v>
      </c>
      <c r="DG70" s="4">
        <v>-45000</v>
      </c>
    </row>
    <row r="71" spans="83:143" x14ac:dyDescent="0.2">
      <c r="CE71" s="448"/>
      <c r="CF71" s="4"/>
      <c r="CV71" s="5" t="s">
        <v>427</v>
      </c>
      <c r="CW71" s="4">
        <v>-500</v>
      </c>
      <c r="CX71" s="4"/>
      <c r="CZ71" s="2">
        <v>6056</v>
      </c>
      <c r="DB71" s="2">
        <v>-8280</v>
      </c>
      <c r="DF71" s="5"/>
      <c r="DG71" s="4"/>
    </row>
    <row r="72" spans="83:143" ht="12.75" customHeight="1" x14ac:dyDescent="0.2">
      <c r="CM72" s="84"/>
      <c r="CN72" s="84"/>
      <c r="CO72" s="84"/>
      <c r="CP72" s="84"/>
      <c r="CQ72" s="84"/>
      <c r="CR72" s="84"/>
      <c r="CS72" s="84"/>
      <c r="CT72" s="84"/>
      <c r="CU72" s="84"/>
      <c r="CV72" s="224" t="s">
        <v>428</v>
      </c>
      <c r="CW72" s="4">
        <v>-10000</v>
      </c>
      <c r="CX72" s="5"/>
      <c r="CZ72" s="2">
        <v>23.18</v>
      </c>
      <c r="DB72" s="2">
        <v>-5000</v>
      </c>
      <c r="DF72" s="5" t="s">
        <v>429</v>
      </c>
      <c r="DG72" s="4">
        <v>3547</v>
      </c>
      <c r="DH72" s="84"/>
    </row>
    <row r="73" spans="83:143" x14ac:dyDescent="0.2">
      <c r="CV73" s="5" t="s">
        <v>430</v>
      </c>
      <c r="CW73" s="4">
        <v>-2800</v>
      </c>
      <c r="CX73" s="4"/>
      <c r="DB73" s="2">
        <v>-23000</v>
      </c>
      <c r="DF73" s="5" t="s">
        <v>18</v>
      </c>
      <c r="DG73" s="4">
        <f>SUM(DG55:DG72)</f>
        <v>-17977.22</v>
      </c>
    </row>
    <row r="74" spans="83:143" x14ac:dyDescent="0.2">
      <c r="CV74" s="5"/>
      <c r="CW74" s="4"/>
      <c r="CX74" s="4"/>
    </row>
    <row r="75" spans="83:143" x14ac:dyDescent="0.2">
      <c r="CV75" s="5"/>
      <c r="CW75" s="4"/>
      <c r="CX75" s="4"/>
    </row>
    <row r="76" spans="83:143" x14ac:dyDescent="0.2">
      <c r="CV76" s="5" t="s">
        <v>0</v>
      </c>
      <c r="CW76" s="4">
        <f>SUM(CW68:CW75)</f>
        <v>1119.2800000000279</v>
      </c>
      <c r="CX76" s="4"/>
    </row>
    <row r="77" spans="83:143" x14ac:dyDescent="0.2">
      <c r="CV77" s="5"/>
      <c r="CW77" s="4">
        <f>CW76/8</f>
        <v>139.91000000000349</v>
      </c>
      <c r="CX77" s="4"/>
    </row>
    <row r="78" spans="83:143" x14ac:dyDescent="0.2">
      <c r="CW78" s="3"/>
      <c r="CX78" s="3"/>
      <c r="DE78" s="2">
        <v>-25000</v>
      </c>
    </row>
    <row r="79" spans="83:143" x14ac:dyDescent="0.2">
      <c r="DB79" s="3"/>
      <c r="DE79" s="2">
        <v>6000</v>
      </c>
    </row>
    <row r="80" spans="83:143" x14ac:dyDescent="0.2">
      <c r="CZ80" s="2">
        <v>250000</v>
      </c>
      <c r="DA80" s="2">
        <v>2</v>
      </c>
      <c r="DB80" s="3">
        <v>4</v>
      </c>
      <c r="DC80" s="2">
        <f>CZ80*DA80/100</f>
        <v>5000</v>
      </c>
      <c r="DD80" s="2">
        <f>DC80/30</f>
        <v>166.66666666666666</v>
      </c>
      <c r="DE80" s="2">
        <f>DD80*DB80</f>
        <v>666.66666666666663</v>
      </c>
    </row>
    <row r="81" spans="31:108" x14ac:dyDescent="0.2">
      <c r="CZ81" s="84"/>
      <c r="DB81" s="3"/>
    </row>
    <row r="82" spans="31:108" x14ac:dyDescent="0.2">
      <c r="CZ82" s="2">
        <v>50000</v>
      </c>
      <c r="DA82" s="2">
        <f>CZ82*2/100</f>
        <v>1000</v>
      </c>
      <c r="DB82" s="3">
        <f>DA82/2</f>
        <v>500</v>
      </c>
    </row>
    <row r="83" spans="31:108" x14ac:dyDescent="0.2">
      <c r="DB83" s="3"/>
    </row>
    <row r="84" spans="31:108" x14ac:dyDescent="0.2">
      <c r="DB84" s="3"/>
      <c r="DD84" s="2">
        <v>25000</v>
      </c>
    </row>
    <row r="85" spans="31:108" x14ac:dyDescent="0.2">
      <c r="DB85" s="3"/>
      <c r="DD85" s="2">
        <v>-6000</v>
      </c>
    </row>
    <row r="86" spans="31:108" x14ac:dyDescent="0.2">
      <c r="DB86" s="3"/>
      <c r="DD86" s="2">
        <v>-667</v>
      </c>
    </row>
    <row r="87" spans="31:108" x14ac:dyDescent="0.2">
      <c r="DB87" s="3"/>
      <c r="DD87" s="2">
        <v>-500</v>
      </c>
    </row>
    <row r="88" spans="31:108" x14ac:dyDescent="0.2">
      <c r="AE88" s="3"/>
    </row>
    <row r="89" spans="31:108" x14ac:dyDescent="0.2">
      <c r="AE89" s="3"/>
    </row>
    <row r="90" spans="31:108" x14ac:dyDescent="0.2">
      <c r="AE90" s="3"/>
    </row>
    <row r="91" spans="31:108" x14ac:dyDescent="0.2">
      <c r="AE91" s="3"/>
    </row>
    <row r="92" spans="31:108" x14ac:dyDescent="0.2">
      <c r="AE92" s="3"/>
    </row>
    <row r="93" spans="31:108" x14ac:dyDescent="0.2">
      <c r="AE93" s="3"/>
    </row>
    <row r="94" spans="31:108" x14ac:dyDescent="0.2">
      <c r="AE94" s="3"/>
    </row>
    <row r="95" spans="31:108" x14ac:dyDescent="0.2">
      <c r="AE95" s="3"/>
    </row>
    <row r="97" spans="17:67" x14ac:dyDescent="0.2">
      <c r="Q97" s="607"/>
      <c r="R97" s="607"/>
      <c r="S97" s="607"/>
      <c r="T97" s="607"/>
      <c r="U97" s="607"/>
      <c r="V97" s="607"/>
      <c r="W97" s="607"/>
      <c r="X97" s="229"/>
      <c r="Y97" s="229"/>
      <c r="AC97" s="87"/>
      <c r="AD97" s="87"/>
      <c r="AE97" s="87"/>
      <c r="AF97" s="87"/>
      <c r="AG97" s="87"/>
      <c r="AH97" s="87"/>
      <c r="AI97" s="87"/>
      <c r="AJ97" s="229"/>
      <c r="AN97" s="229"/>
      <c r="AO97" s="229"/>
      <c r="AP97" s="229"/>
      <c r="AQ97" s="229"/>
      <c r="AR97" s="229"/>
      <c r="AS97" s="229"/>
      <c r="AT97" s="229"/>
      <c r="AU97" s="229"/>
      <c r="AV97" s="229"/>
      <c r="AZ97" s="229"/>
      <c r="BA97" s="229"/>
      <c r="BB97" s="229"/>
      <c r="BC97" s="229"/>
      <c r="BD97" s="229"/>
      <c r="BE97" s="229"/>
      <c r="BF97" s="229"/>
      <c r="BG97" s="229"/>
      <c r="BH97" s="229"/>
      <c r="BI97" s="229"/>
      <c r="BJ97" s="229"/>
      <c r="BK97" s="229"/>
      <c r="BL97" s="229"/>
      <c r="BM97" s="229"/>
      <c r="BN97" s="229"/>
      <c r="BO97" s="229"/>
    </row>
    <row r="98" spans="17:67" x14ac:dyDescent="0.2">
      <c r="Q98" s="604"/>
      <c r="R98" s="604"/>
      <c r="S98" s="604"/>
      <c r="T98" s="604"/>
    </row>
    <row r="99" spans="17:67" x14ac:dyDescent="0.2">
      <c r="Q99" s="604"/>
      <c r="R99" s="604"/>
      <c r="S99" s="604"/>
      <c r="T99" s="604"/>
    </row>
    <row r="100" spans="17:67" x14ac:dyDescent="0.2">
      <c r="Q100" s="604"/>
      <c r="R100" s="604"/>
      <c r="S100" s="604"/>
      <c r="T100" s="604"/>
    </row>
    <row r="101" spans="17:67" x14ac:dyDescent="0.2">
      <c r="Q101" s="604"/>
      <c r="R101" s="604"/>
      <c r="S101" s="604"/>
      <c r="T101" s="604"/>
    </row>
    <row r="102" spans="17:67" x14ac:dyDescent="0.2">
      <c r="Q102" s="604"/>
      <c r="R102" s="604"/>
      <c r="S102" s="604"/>
      <c r="T102" s="604"/>
    </row>
    <row r="103" spans="17:67" x14ac:dyDescent="0.2">
      <c r="Q103" s="604"/>
      <c r="R103" s="604"/>
      <c r="S103" s="604"/>
      <c r="T103" s="604"/>
    </row>
    <row r="105" spans="17:67" x14ac:dyDescent="0.2">
      <c r="AF105" s="2">
        <v>26000</v>
      </c>
    </row>
    <row r="106" spans="17:67" x14ac:dyDescent="0.2">
      <c r="T106" s="605"/>
      <c r="AF106" s="175">
        <f>AF105*12</f>
        <v>312000</v>
      </c>
    </row>
    <row r="107" spans="17:67" x14ac:dyDescent="0.2">
      <c r="T107" s="605"/>
      <c r="AE107" s="2" t="s">
        <v>352</v>
      </c>
      <c r="AF107" s="175">
        <v>30000</v>
      </c>
    </row>
    <row r="108" spans="17:67" x14ac:dyDescent="0.2">
      <c r="T108" s="605"/>
      <c r="AB108" s="2" t="s">
        <v>431</v>
      </c>
      <c r="AC108" s="2">
        <v>150000</v>
      </c>
      <c r="AE108" s="2" t="s">
        <v>17</v>
      </c>
      <c r="AF108" s="175">
        <f>AF106-AF107</f>
        <v>282000</v>
      </c>
    </row>
    <row r="109" spans="17:67" x14ac:dyDescent="0.2">
      <c r="T109" s="605"/>
      <c r="AB109" s="2" t="s">
        <v>191</v>
      </c>
      <c r="AC109" s="2">
        <v>25000</v>
      </c>
      <c r="AF109" s="175"/>
    </row>
    <row r="110" spans="17:67" x14ac:dyDescent="0.2">
      <c r="T110" s="605"/>
      <c r="AB110" s="2" t="s">
        <v>197</v>
      </c>
      <c r="AF110" s="175"/>
    </row>
    <row r="111" spans="17:67" x14ac:dyDescent="0.2">
      <c r="T111" s="605"/>
      <c r="AB111" s="2" t="s">
        <v>432</v>
      </c>
      <c r="AC111" s="2">
        <v>50000</v>
      </c>
      <c r="AF111" s="175"/>
    </row>
    <row r="112" spans="17:67" x14ac:dyDescent="0.2">
      <c r="T112" s="605"/>
      <c r="AF112" s="175"/>
    </row>
    <row r="113" spans="28:32" x14ac:dyDescent="0.2">
      <c r="AB113" s="2" t="s">
        <v>433</v>
      </c>
      <c r="AF113" s="176"/>
    </row>
    <row r="114" spans="28:32" x14ac:dyDescent="0.2">
      <c r="AB114" s="2" t="s">
        <v>434</v>
      </c>
      <c r="AF114" s="176"/>
    </row>
    <row r="115" spans="28:32" x14ac:dyDescent="0.2">
      <c r="AF115" s="176"/>
    </row>
    <row r="116" spans="28:32" x14ac:dyDescent="0.2">
      <c r="AB116" s="2" t="s">
        <v>435</v>
      </c>
      <c r="AC116" s="2">
        <v>250000</v>
      </c>
      <c r="AF116" s="176"/>
    </row>
    <row r="117" spans="28:32" x14ac:dyDescent="0.2">
      <c r="AF117" s="176"/>
    </row>
  </sheetData>
  <mergeCells count="20">
    <mergeCell ref="CZ63:DA63"/>
    <mergeCell ref="CO16:CT16"/>
    <mergeCell ref="CZ54:DB54"/>
    <mergeCell ref="CZ55:DA55"/>
    <mergeCell ref="CZ56:DA56"/>
    <mergeCell ref="CZ57:DA57"/>
    <mergeCell ref="EA57:EF57"/>
    <mergeCell ref="CZ58:DA58"/>
    <mergeCell ref="CZ60:DA60"/>
    <mergeCell ref="CZ61:DA61"/>
    <mergeCell ref="CZ62:DA62"/>
    <mergeCell ref="DD57:DE57"/>
    <mergeCell ref="Q103:T103"/>
    <mergeCell ref="T106:T112"/>
    <mergeCell ref="Q97:W97"/>
    <mergeCell ref="Q98:T98"/>
    <mergeCell ref="Q99:T99"/>
    <mergeCell ref="Q100:T100"/>
    <mergeCell ref="Q101:T101"/>
    <mergeCell ref="Q102:T102"/>
  </mergeCells>
  <conditionalFormatting sqref="C2:C37">
    <cfRule type="cellIs" dxfId="68" priority="80" operator="equal">
      <formula>DAY(TODAY())</formula>
    </cfRule>
  </conditionalFormatting>
  <conditionalFormatting sqref="H2">
    <cfRule type="cellIs" dxfId="67" priority="329" operator="lessThan">
      <formula>0</formula>
    </cfRule>
  </conditionalFormatting>
  <conditionalFormatting sqref="H23:M24">
    <cfRule type="cellIs" dxfId="66" priority="328" operator="equal">
      <formula>0</formula>
    </cfRule>
  </conditionalFormatting>
  <conditionalFormatting sqref="H25:R28">
    <cfRule type="cellIs" dxfId="65" priority="320" operator="equal">
      <formula>0</formula>
    </cfRule>
  </conditionalFormatting>
  <conditionalFormatting sqref="H20:T22">
    <cfRule type="cellIs" dxfId="64" priority="306" operator="equal">
      <formula>0</formula>
    </cfRule>
  </conditionalFormatting>
  <conditionalFormatting sqref="H9:AL10">
    <cfRule type="cellIs" dxfId="63" priority="161" operator="equal">
      <formula>0</formula>
    </cfRule>
  </conditionalFormatting>
  <conditionalFormatting sqref="H11:AO12">
    <cfRule type="cellIs" dxfId="62" priority="147" operator="equal">
      <formula>0</formula>
    </cfRule>
  </conditionalFormatting>
  <conditionalFormatting sqref="H29:AO35">
    <cfRule type="cellIs" dxfId="61" priority="122" operator="equal">
      <formula>0</formula>
    </cfRule>
  </conditionalFormatting>
  <conditionalFormatting sqref="H18:AV19">
    <cfRule type="cellIs" dxfId="60" priority="112" operator="equal">
      <formula>0</formula>
    </cfRule>
  </conditionalFormatting>
  <conditionalFormatting sqref="H3:CK8">
    <cfRule type="cellIs" dxfId="59" priority="2" operator="equal">
      <formula>0</formula>
    </cfRule>
  </conditionalFormatting>
  <conditionalFormatting sqref="H13:CK17">
    <cfRule type="cellIs" dxfId="58" priority="49" operator="equal">
      <formula>0</formula>
    </cfRule>
  </conditionalFormatting>
  <conditionalFormatting sqref="H36:CK38">
    <cfRule type="cellIs" dxfId="57" priority="53" operator="equal">
      <formula>0</formula>
    </cfRule>
  </conditionalFormatting>
  <conditionalFormatting sqref="I2:CK2">
    <cfRule type="cellIs" dxfId="56" priority="4" operator="equal">
      <formula>0</formula>
    </cfRule>
  </conditionalFormatting>
  <conditionalFormatting sqref="N24:R24">
    <cfRule type="cellIs" dxfId="55" priority="272" operator="equal">
      <formula>0</formula>
    </cfRule>
  </conditionalFormatting>
  <conditionalFormatting sqref="N23:T23">
    <cfRule type="cellIs" dxfId="54" priority="304" operator="equal">
      <formula>0</formula>
    </cfRule>
  </conditionalFormatting>
  <conditionalFormatting sqref="S24:AO28">
    <cfRule type="cellIs" dxfId="53" priority="145" operator="equal">
      <formula>0</formula>
    </cfRule>
  </conditionalFormatting>
  <conditionalFormatting sqref="U20:Y23">
    <cfRule type="cellIs" dxfId="52" priority="277" operator="equal">
      <formula>0</formula>
    </cfRule>
  </conditionalFormatting>
  <conditionalFormatting sqref="Z21:AE23">
    <cfRule type="cellIs" dxfId="51" priority="116" operator="equal">
      <formula>0</formula>
    </cfRule>
  </conditionalFormatting>
  <conditionalFormatting sqref="Z20:AF20">
    <cfRule type="cellIs" dxfId="50" priority="249" operator="equal">
      <formula>0</formula>
    </cfRule>
  </conditionalFormatting>
  <conditionalFormatting sqref="AF21:AF22">
    <cfRule type="cellIs" dxfId="49" priority="253" operator="equal">
      <formula>0</formula>
    </cfRule>
  </conditionalFormatting>
  <conditionalFormatting sqref="AF23:AV23">
    <cfRule type="cellIs" dxfId="48" priority="113" operator="equal">
      <formula>0</formula>
    </cfRule>
  </conditionalFormatting>
  <conditionalFormatting sqref="AG20:AM22">
    <cfRule type="cellIs" dxfId="47" priority="198" operator="equal">
      <formula>0</formula>
    </cfRule>
  </conditionalFormatting>
  <conditionalFormatting sqref="AM10:AO10">
    <cfRule type="cellIs" dxfId="46" priority="160" operator="equal">
      <formula>0</formula>
    </cfRule>
  </conditionalFormatting>
  <conditionalFormatting sqref="AM9:AR9">
    <cfRule type="cellIs" dxfId="45" priority="108" operator="equal">
      <formula>0</formula>
    </cfRule>
  </conditionalFormatting>
  <conditionalFormatting sqref="AN20:AV20">
    <cfRule type="cellIs" dxfId="44" priority="135" operator="equal">
      <formula>0</formula>
    </cfRule>
  </conditionalFormatting>
  <conditionalFormatting sqref="AN22:AV22">
    <cfRule type="cellIs" dxfId="43" priority="139" operator="equal">
      <formula>0</formula>
    </cfRule>
  </conditionalFormatting>
  <conditionalFormatting sqref="AN21:CK21">
    <cfRule type="cellIs" dxfId="42" priority="24" operator="equal">
      <formula>0</formula>
    </cfRule>
  </conditionalFormatting>
  <conditionalFormatting sqref="AP10:AR12">
    <cfRule type="cellIs" dxfId="41" priority="127" operator="equal">
      <formula>0</formula>
    </cfRule>
  </conditionalFormatting>
  <conditionalFormatting sqref="AP24:AV35">
    <cfRule type="cellIs" dxfId="40" priority="121" operator="equal">
      <formula>0</formula>
    </cfRule>
  </conditionalFormatting>
  <conditionalFormatting sqref="AS9:CK12">
    <cfRule type="cellIs" dxfId="39" priority="18" operator="equal">
      <formula>0</formula>
    </cfRule>
  </conditionalFormatting>
  <conditionalFormatting sqref="AW18:CK20">
    <cfRule type="cellIs" dxfId="38" priority="39" operator="equal">
      <formula>0</formula>
    </cfRule>
  </conditionalFormatting>
  <conditionalFormatting sqref="AW22:CK35">
    <cfRule type="cellIs" dxfId="37" priority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BZ61"/>
  <sheetViews>
    <sheetView topLeftCell="AR1" zoomScaleNormal="100" workbookViewId="0">
      <pane ySplit="1" topLeftCell="A2" activePane="bottomLeft" state="frozen"/>
      <selection activeCell="AE1" sqref="AE1"/>
      <selection pane="bottomLeft" activeCell="BE28" sqref="BE28"/>
    </sheetView>
  </sheetViews>
  <sheetFormatPr defaultColWidth="9.140625" defaultRowHeight="15" x14ac:dyDescent="0.25"/>
  <cols>
    <col min="1" max="1" width="11" style="11" customWidth="1"/>
    <col min="2" max="2" width="10.5703125" style="11" customWidth="1"/>
    <col min="3" max="3" width="14.5703125" style="11" bestFit="1" customWidth="1"/>
    <col min="4" max="4" width="1.28515625" style="11" customWidth="1"/>
    <col min="5" max="7" width="11" style="11" customWidth="1"/>
    <col min="8" max="8" width="12.7109375" style="11" bestFit="1" customWidth="1"/>
    <col min="9" max="10" width="11" style="11" customWidth="1"/>
    <col min="11" max="11" width="14.5703125" style="11" bestFit="1" customWidth="1"/>
    <col min="12" max="12" width="1.28515625" style="11" customWidth="1"/>
    <col min="13" max="16" width="12.5703125" style="11" customWidth="1"/>
    <col min="17" max="18" width="13.5703125" style="11" customWidth="1"/>
    <col min="19" max="19" width="11" style="11" customWidth="1"/>
    <col min="20" max="20" width="14.5703125" style="11" bestFit="1" customWidth="1"/>
    <col min="21" max="21" width="1.28515625" style="11" customWidth="1"/>
    <col min="22" max="25" width="12.5703125" style="11" customWidth="1"/>
    <col min="26" max="27" width="13.5703125" style="11" customWidth="1"/>
    <col min="28" max="28" width="14.5703125" style="11" bestFit="1" customWidth="1"/>
    <col min="29" max="29" width="1.28515625" style="11" customWidth="1"/>
    <col min="30" max="33" width="12.5703125" style="11" customWidth="1"/>
    <col min="34" max="36" width="13.5703125" style="11" customWidth="1"/>
    <col min="37" max="37" width="14.5703125" style="11" bestFit="1" customWidth="1"/>
    <col min="38" max="38" width="1.28515625" style="11" customWidth="1"/>
    <col min="39" max="42" width="12.5703125" style="11" customWidth="1"/>
    <col min="43" max="45" width="13.5703125" style="11" customWidth="1"/>
    <col min="46" max="46" width="14.5703125" style="11" bestFit="1" customWidth="1"/>
    <col min="47" max="47" width="1.28515625" style="11" customWidth="1"/>
    <col min="48" max="51" width="12.5703125" style="11" customWidth="1"/>
    <col min="52" max="54" width="13.5703125" style="11" customWidth="1"/>
    <col min="55" max="55" width="14.5703125" style="11" bestFit="1" customWidth="1"/>
    <col min="56" max="56" width="1.28515625" style="11" customWidth="1"/>
    <col min="57" max="60" width="12.5703125" style="11" customWidth="1"/>
    <col min="61" max="62" width="13.5703125" style="11" customWidth="1"/>
    <col min="63" max="63" width="10.5703125" style="11" customWidth="1"/>
    <col min="64" max="64" width="17.7109375" style="11" bestFit="1" customWidth="1"/>
    <col min="65" max="65" width="9.42578125" style="11" bestFit="1" customWidth="1"/>
    <col min="66" max="73" width="10.5703125" style="11" bestFit="1" customWidth="1"/>
    <col min="74" max="74" width="11.85546875" style="11" customWidth="1"/>
    <col min="75" max="75" width="12.7109375" style="11" bestFit="1" customWidth="1"/>
    <col min="76" max="76" width="9.7109375" style="11" bestFit="1" customWidth="1"/>
    <col min="77" max="77" width="18.28515625" style="11" bestFit="1" customWidth="1"/>
    <col min="78" max="78" width="10.28515625" style="11" bestFit="1" customWidth="1"/>
    <col min="79" max="79" width="9.7109375" style="11" bestFit="1" customWidth="1"/>
    <col min="80" max="16384" width="9.140625" style="11"/>
  </cols>
  <sheetData>
    <row r="1" spans="1:78" ht="30" customHeight="1" x14ac:dyDescent="0.25">
      <c r="A1" s="121"/>
      <c r="B1" s="121"/>
      <c r="C1" s="428">
        <v>30</v>
      </c>
      <c r="D1" s="428"/>
      <c r="E1" s="19" t="s">
        <v>248</v>
      </c>
      <c r="F1" s="132" t="s">
        <v>450</v>
      </c>
      <c r="G1" s="19" t="s">
        <v>255</v>
      </c>
      <c r="H1" s="19" t="s">
        <v>451</v>
      </c>
      <c r="I1" s="19" t="s">
        <v>18</v>
      </c>
      <c r="J1" s="121"/>
      <c r="K1" s="428">
        <v>31</v>
      </c>
      <c r="L1" s="428"/>
      <c r="M1" s="19" t="s">
        <v>248</v>
      </c>
      <c r="N1" s="132" t="s">
        <v>450</v>
      </c>
      <c r="O1" s="19" t="s">
        <v>255</v>
      </c>
      <c r="P1" s="19" t="s">
        <v>451</v>
      </c>
      <c r="Q1" s="19" t="s">
        <v>18</v>
      </c>
      <c r="R1" s="121"/>
      <c r="S1" s="121"/>
      <c r="T1" s="428">
        <v>30</v>
      </c>
      <c r="U1" s="428"/>
      <c r="V1" s="19" t="s">
        <v>248</v>
      </c>
      <c r="W1" s="132" t="s">
        <v>450</v>
      </c>
      <c r="X1" s="19" t="s">
        <v>255</v>
      </c>
      <c r="Y1" s="19" t="s">
        <v>451</v>
      </c>
      <c r="Z1" s="19" t="s">
        <v>18</v>
      </c>
      <c r="AA1" s="121"/>
      <c r="AB1" s="428">
        <v>31</v>
      </c>
      <c r="AC1" s="428"/>
      <c r="AD1" s="19" t="s">
        <v>248</v>
      </c>
      <c r="AE1" s="132" t="s">
        <v>450</v>
      </c>
      <c r="AF1" s="19" t="s">
        <v>255</v>
      </c>
      <c r="AG1" s="19" t="s">
        <v>451</v>
      </c>
      <c r="AH1" s="19" t="s">
        <v>18</v>
      </c>
      <c r="AI1" s="121"/>
      <c r="AJ1" s="121"/>
      <c r="AK1" s="428">
        <v>31</v>
      </c>
      <c r="AL1" s="428"/>
      <c r="AM1" s="19" t="s">
        <v>248</v>
      </c>
      <c r="AN1" s="132" t="s">
        <v>450</v>
      </c>
      <c r="AO1" s="19" t="s">
        <v>255</v>
      </c>
      <c r="AP1" s="19" t="s">
        <v>451</v>
      </c>
      <c r="AQ1" s="19" t="s">
        <v>18</v>
      </c>
      <c r="AR1" s="121"/>
      <c r="AS1" s="121"/>
      <c r="AT1" s="428">
        <v>29</v>
      </c>
      <c r="AU1" s="428"/>
      <c r="AV1" s="19" t="s">
        <v>248</v>
      </c>
      <c r="AW1" s="132" t="s">
        <v>450</v>
      </c>
      <c r="AX1" s="19" t="s">
        <v>255</v>
      </c>
      <c r="AY1" s="19" t="s">
        <v>451</v>
      </c>
      <c r="AZ1" s="19" t="s">
        <v>18</v>
      </c>
      <c r="BA1" s="121"/>
      <c r="BB1" s="121"/>
      <c r="BC1" s="428">
        <v>30</v>
      </c>
      <c r="BD1" s="428"/>
      <c r="BE1" s="19" t="s">
        <v>248</v>
      </c>
      <c r="BF1" s="132" t="s">
        <v>450</v>
      </c>
      <c r="BG1" s="19" t="s">
        <v>255</v>
      </c>
      <c r="BH1" s="19" t="s">
        <v>451</v>
      </c>
      <c r="BI1" s="19" t="s">
        <v>18</v>
      </c>
      <c r="BJ1" s="121"/>
      <c r="BK1" s="121"/>
      <c r="BL1" s="37" t="s">
        <v>452</v>
      </c>
      <c r="BM1" s="37" t="s">
        <v>453</v>
      </c>
      <c r="BN1" s="38" t="s">
        <v>454</v>
      </c>
      <c r="BO1" s="38" t="s">
        <v>455</v>
      </c>
      <c r="BP1" s="38" t="s">
        <v>456</v>
      </c>
      <c r="BQ1" s="38" t="s">
        <v>457</v>
      </c>
      <c r="BR1" s="38" t="s">
        <v>458</v>
      </c>
      <c r="BS1" s="38" t="s">
        <v>459</v>
      </c>
      <c r="BT1" s="38" t="s">
        <v>460</v>
      </c>
      <c r="BU1" s="38" t="s">
        <v>461</v>
      </c>
      <c r="BV1" s="15"/>
      <c r="BW1" s="121"/>
      <c r="BX1" s="3"/>
      <c r="BY1" s="3"/>
      <c r="BZ1" s="3"/>
    </row>
    <row r="2" spans="1:78" x14ac:dyDescent="0.25">
      <c r="A2" s="429"/>
      <c r="B2" s="429"/>
      <c r="C2" s="430">
        <v>45170</v>
      </c>
      <c r="D2" s="430"/>
      <c r="E2" s="178">
        <v>141238.63</v>
      </c>
      <c r="F2" s="178">
        <v>14270.6</v>
      </c>
      <c r="G2" s="178">
        <v>10705</v>
      </c>
      <c r="H2" s="178">
        <v>10000</v>
      </c>
      <c r="I2" s="428">
        <f t="shared" ref="I2:I31" si="0">SUM(E2:H2)</f>
        <v>176214.23</v>
      </c>
      <c r="J2" s="429"/>
      <c r="K2" s="430">
        <v>45200</v>
      </c>
      <c r="L2" s="430"/>
      <c r="M2" s="178">
        <v>271826.65999999997</v>
      </c>
      <c r="N2" s="178">
        <v>9429.6</v>
      </c>
      <c r="O2" s="178">
        <v>14760</v>
      </c>
      <c r="P2" s="178">
        <v>13459.05</v>
      </c>
      <c r="Q2" s="428">
        <f t="shared" ref="Q2:Q32" si="1">SUM(M2:P2)</f>
        <v>309475.30999999994</v>
      </c>
      <c r="R2" s="429"/>
      <c r="S2" s="429"/>
      <c r="T2" s="430">
        <v>45231</v>
      </c>
      <c r="U2" s="430"/>
      <c r="V2" s="178">
        <v>214146.47</v>
      </c>
      <c r="W2" s="178">
        <v>0</v>
      </c>
      <c r="X2" s="178">
        <v>1210</v>
      </c>
      <c r="Y2" s="178">
        <v>290.39999999999998</v>
      </c>
      <c r="Z2" s="428">
        <f t="shared" ref="Z2:Z31" si="2">SUM(V2:Y2)</f>
        <v>215646.87</v>
      </c>
      <c r="AA2" s="429"/>
      <c r="AB2" s="430">
        <v>45261</v>
      </c>
      <c r="AC2" s="430"/>
      <c r="AD2" s="178">
        <v>245113.21</v>
      </c>
      <c r="AE2" s="178">
        <v>12632</v>
      </c>
      <c r="AF2" s="178">
        <v>210</v>
      </c>
      <c r="AG2" s="178">
        <v>4340.3999999999996</v>
      </c>
      <c r="AH2" s="428">
        <f t="shared" ref="AH2:AH31" si="3">SUM(AD2:AG2)</f>
        <v>262295.61</v>
      </c>
      <c r="AI2" s="429"/>
      <c r="AJ2" s="429"/>
      <c r="AK2" s="430">
        <v>45292</v>
      </c>
      <c r="AL2" s="430"/>
      <c r="AM2" s="178"/>
      <c r="AN2" s="178">
        <v>2713</v>
      </c>
      <c r="AO2" s="178">
        <v>29968.25</v>
      </c>
      <c r="AP2" s="178">
        <v>3340.4</v>
      </c>
      <c r="AQ2" s="428">
        <f t="shared" ref="AQ2:AQ32" si="4">SUM(AM2:AP2)</f>
        <v>36021.65</v>
      </c>
      <c r="AR2" s="429"/>
      <c r="AS2" s="429"/>
      <c r="AT2" s="430">
        <v>45323</v>
      </c>
      <c r="AU2" s="430"/>
      <c r="AV2" s="178">
        <v>325886.44</v>
      </c>
      <c r="AW2" s="178">
        <v>2713</v>
      </c>
      <c r="AX2" s="178">
        <v>9959.98</v>
      </c>
      <c r="AY2" s="178">
        <v>11269.93</v>
      </c>
      <c r="AZ2" s="428">
        <f t="shared" ref="AZ2:AZ32" si="5">SUM(AV2:AY2)</f>
        <v>349829.35</v>
      </c>
      <c r="BA2" s="429"/>
      <c r="BB2" s="429"/>
      <c r="BC2" s="430">
        <v>45536</v>
      </c>
      <c r="BD2" s="430"/>
      <c r="BE2" s="178"/>
      <c r="BF2" s="178">
        <v>1832</v>
      </c>
      <c r="BG2" s="178">
        <v>792.54</v>
      </c>
      <c r="BH2" s="178">
        <v>3270.71</v>
      </c>
      <c r="BI2" s="428">
        <f t="shared" ref="BI2:BI32" si="6">SUM(BE2:BH2)</f>
        <v>5895.25</v>
      </c>
      <c r="BJ2" s="429"/>
      <c r="BK2" s="429"/>
      <c r="BL2" s="621" t="s">
        <v>320</v>
      </c>
      <c r="BM2" s="39" t="s">
        <v>462</v>
      </c>
      <c r="BN2" s="39">
        <v>3485</v>
      </c>
      <c r="BO2" s="39">
        <v>1019</v>
      </c>
      <c r="BP2" s="39">
        <v>3269</v>
      </c>
      <c r="BQ2" s="39">
        <v>356</v>
      </c>
      <c r="BR2" s="39">
        <v>296</v>
      </c>
      <c r="BS2" s="39"/>
      <c r="BT2" s="39"/>
      <c r="BU2" s="39">
        <v>0</v>
      </c>
      <c r="BV2" s="619">
        <f>SUM(BN2:BU5)</f>
        <v>19536</v>
      </c>
      <c r="BW2" s="429"/>
      <c r="BX2" s="3"/>
      <c r="BY2" s="3"/>
      <c r="BZ2" s="3"/>
    </row>
    <row r="3" spans="1:78" x14ac:dyDescent="0.25">
      <c r="A3" s="429"/>
      <c r="B3" s="429"/>
      <c r="C3" s="430">
        <v>45171</v>
      </c>
      <c r="D3" s="430"/>
      <c r="E3" s="178"/>
      <c r="F3" s="178">
        <v>14270.6</v>
      </c>
      <c r="G3" s="178">
        <v>10705</v>
      </c>
      <c r="H3" s="178">
        <v>10000</v>
      </c>
      <c r="I3" s="428">
        <f t="shared" si="0"/>
        <v>34975.599999999999</v>
      </c>
      <c r="J3" s="429"/>
      <c r="K3" s="430">
        <v>45201</v>
      </c>
      <c r="L3" s="430"/>
      <c r="M3" s="178">
        <v>260820.66</v>
      </c>
      <c r="N3" s="178">
        <v>9429.6</v>
      </c>
      <c r="O3" s="178">
        <v>14760</v>
      </c>
      <c r="P3" s="178">
        <v>13459.05</v>
      </c>
      <c r="Q3" s="428">
        <f t="shared" si="1"/>
        <v>298469.31</v>
      </c>
      <c r="R3" s="429"/>
      <c r="S3" s="429"/>
      <c r="T3" s="430">
        <v>45232</v>
      </c>
      <c r="U3" s="430"/>
      <c r="V3" s="178">
        <v>194684.47</v>
      </c>
      <c r="W3" s="178">
        <v>0</v>
      </c>
      <c r="X3" s="178">
        <v>1210</v>
      </c>
      <c r="Y3" s="178">
        <v>290.39999999999998</v>
      </c>
      <c r="Z3" s="428">
        <f t="shared" si="2"/>
        <v>196184.87</v>
      </c>
      <c r="AA3" s="429"/>
      <c r="AB3" s="430">
        <v>45262</v>
      </c>
      <c r="AC3" s="430"/>
      <c r="AD3" s="178"/>
      <c r="AE3" s="178">
        <v>12632</v>
      </c>
      <c r="AF3" s="178">
        <v>210</v>
      </c>
      <c r="AG3" s="178">
        <v>3340.4</v>
      </c>
      <c r="AH3" s="428">
        <f t="shared" si="3"/>
        <v>16182.4</v>
      </c>
      <c r="AI3" s="429"/>
      <c r="AJ3" s="429"/>
      <c r="AK3" s="430">
        <v>45293</v>
      </c>
      <c r="AL3" s="430"/>
      <c r="AM3" s="178"/>
      <c r="AN3" s="178">
        <v>2713</v>
      </c>
      <c r="AO3" s="178">
        <v>29968.25</v>
      </c>
      <c r="AP3" s="178">
        <v>3340.4</v>
      </c>
      <c r="AQ3" s="428">
        <f t="shared" si="4"/>
        <v>36021.65</v>
      </c>
      <c r="AR3" s="429"/>
      <c r="AS3" s="429"/>
      <c r="AT3" s="430">
        <v>45324</v>
      </c>
      <c r="AU3" s="430"/>
      <c r="AV3" s="178">
        <v>325886.44</v>
      </c>
      <c r="AW3" s="178">
        <v>2713</v>
      </c>
      <c r="AX3" s="178">
        <v>9959.98</v>
      </c>
      <c r="AY3" s="178">
        <v>11269.93</v>
      </c>
      <c r="AZ3" s="428">
        <f t="shared" si="5"/>
        <v>349829.35</v>
      </c>
      <c r="BA3" s="429"/>
      <c r="BB3" s="429"/>
      <c r="BC3" s="430">
        <v>45537</v>
      </c>
      <c r="BD3" s="430"/>
      <c r="BE3" s="178"/>
      <c r="BF3" s="178">
        <v>1832</v>
      </c>
      <c r="BG3" s="178">
        <v>792.54</v>
      </c>
      <c r="BH3" s="178">
        <v>3270.71</v>
      </c>
      <c r="BI3" s="428">
        <f t="shared" si="6"/>
        <v>5895.25</v>
      </c>
      <c r="BJ3" s="429"/>
      <c r="BK3" s="429"/>
      <c r="BL3" s="621"/>
      <c r="BM3" s="39" t="s">
        <v>463</v>
      </c>
      <c r="BN3" s="39">
        <v>901</v>
      </c>
      <c r="BO3" s="39">
        <v>569</v>
      </c>
      <c r="BP3" s="39">
        <v>1158</v>
      </c>
      <c r="BQ3" s="39">
        <v>345</v>
      </c>
      <c r="BR3" s="39">
        <v>358</v>
      </c>
      <c r="BS3" s="39"/>
      <c r="BT3" s="39"/>
      <c r="BU3" s="39">
        <v>0</v>
      </c>
      <c r="BV3" s="619"/>
      <c r="BW3" s="429"/>
      <c r="BX3" s="194"/>
      <c r="BY3" s="194"/>
      <c r="BZ3" s="3"/>
    </row>
    <row r="4" spans="1:78" x14ac:dyDescent="0.25">
      <c r="A4" s="429"/>
      <c r="B4" s="429"/>
      <c r="C4" s="430">
        <v>45172</v>
      </c>
      <c r="D4" s="430"/>
      <c r="E4" s="178"/>
      <c r="F4" s="178">
        <v>14270.6</v>
      </c>
      <c r="G4" s="178">
        <v>10705</v>
      </c>
      <c r="H4" s="178">
        <v>5000</v>
      </c>
      <c r="I4" s="428">
        <f t="shared" si="0"/>
        <v>29975.599999999999</v>
      </c>
      <c r="J4" s="429"/>
      <c r="K4" s="430">
        <v>45202</v>
      </c>
      <c r="L4" s="430"/>
      <c r="M4" s="178">
        <v>257523.02</v>
      </c>
      <c r="N4" s="178">
        <v>9429.6</v>
      </c>
      <c r="O4" s="178">
        <v>14760</v>
      </c>
      <c r="P4" s="178">
        <v>13459.05</v>
      </c>
      <c r="Q4" s="428">
        <f t="shared" si="1"/>
        <v>295171.67</v>
      </c>
      <c r="R4" s="429"/>
      <c r="S4" s="429"/>
      <c r="T4" s="430">
        <v>45233</v>
      </c>
      <c r="U4" s="430"/>
      <c r="V4" s="178">
        <v>190886.81</v>
      </c>
      <c r="W4" s="178">
        <v>0</v>
      </c>
      <c r="X4" s="178">
        <v>1210</v>
      </c>
      <c r="Y4" s="178">
        <v>290.39999999999998</v>
      </c>
      <c r="Z4" s="428">
        <f t="shared" si="2"/>
        <v>192387.21</v>
      </c>
      <c r="AA4" s="429"/>
      <c r="AB4" s="430">
        <v>45263</v>
      </c>
      <c r="AC4" s="430"/>
      <c r="AD4" s="178"/>
      <c r="AE4" s="178">
        <v>12632</v>
      </c>
      <c r="AF4" s="178">
        <v>210</v>
      </c>
      <c r="AG4" s="178">
        <v>3340.4</v>
      </c>
      <c r="AH4" s="428">
        <f t="shared" si="3"/>
        <v>16182.4</v>
      </c>
      <c r="AI4" s="429"/>
      <c r="AJ4" s="429"/>
      <c r="AK4" s="430">
        <v>45294</v>
      </c>
      <c r="AL4" s="430"/>
      <c r="AM4" s="178"/>
      <c r="AN4" s="178">
        <v>2713</v>
      </c>
      <c r="AO4" s="178">
        <v>29968.25</v>
      </c>
      <c r="AP4" s="178">
        <v>3340.4</v>
      </c>
      <c r="AQ4" s="428">
        <f t="shared" si="4"/>
        <v>36021.65</v>
      </c>
      <c r="AR4" s="429"/>
      <c r="AS4" s="429"/>
      <c r="AT4" s="430">
        <v>45325</v>
      </c>
      <c r="AU4" s="430"/>
      <c r="AV4" s="178">
        <v>275886.44</v>
      </c>
      <c r="AW4" s="178">
        <v>2713</v>
      </c>
      <c r="AX4" s="178">
        <v>9959.98</v>
      </c>
      <c r="AY4" s="178">
        <v>11269.93</v>
      </c>
      <c r="AZ4" s="428">
        <f t="shared" si="5"/>
        <v>299829.34999999998</v>
      </c>
      <c r="BA4" s="429"/>
      <c r="BB4" s="429"/>
      <c r="BC4" s="430">
        <v>45538</v>
      </c>
      <c r="BD4" s="430"/>
      <c r="BE4" s="178"/>
      <c r="BF4" s="178">
        <v>1832</v>
      </c>
      <c r="BG4" s="178">
        <v>792.54</v>
      </c>
      <c r="BH4" s="178">
        <v>3270.71</v>
      </c>
      <c r="BI4" s="428">
        <f t="shared" si="6"/>
        <v>5895.25</v>
      </c>
      <c r="BJ4" s="429"/>
      <c r="BK4" s="429"/>
      <c r="BL4" s="621"/>
      <c r="BM4" s="39" t="s">
        <v>464</v>
      </c>
      <c r="BN4" s="39">
        <v>514</v>
      </c>
      <c r="BO4" s="39">
        <v>1166</v>
      </c>
      <c r="BP4" s="39">
        <v>475</v>
      </c>
      <c r="BQ4" s="39">
        <v>688</v>
      </c>
      <c r="BR4" s="39">
        <v>415</v>
      </c>
      <c r="BS4" s="39"/>
      <c r="BT4" s="39"/>
      <c r="BU4" s="39">
        <v>0</v>
      </c>
      <c r="BV4" s="619"/>
      <c r="BW4" s="429"/>
      <c r="BX4" s="3"/>
      <c r="BY4" s="3"/>
      <c r="BZ4" s="3"/>
    </row>
    <row r="5" spans="1:78" x14ac:dyDescent="0.25">
      <c r="A5" s="429"/>
      <c r="B5" s="429"/>
      <c r="C5" s="430">
        <v>45173</v>
      </c>
      <c r="D5" s="430"/>
      <c r="E5" s="178"/>
      <c r="F5" s="178">
        <v>14270.6</v>
      </c>
      <c r="G5" s="178">
        <v>10705</v>
      </c>
      <c r="H5" s="178">
        <v>5000</v>
      </c>
      <c r="I5" s="428">
        <f t="shared" si="0"/>
        <v>29975.599999999999</v>
      </c>
      <c r="J5" s="429"/>
      <c r="K5" s="430">
        <v>45203</v>
      </c>
      <c r="L5" s="430"/>
      <c r="M5" s="178">
        <v>217323.02</v>
      </c>
      <c r="N5" s="178">
        <v>9429.6</v>
      </c>
      <c r="O5" s="178">
        <v>14760</v>
      </c>
      <c r="P5" s="178">
        <v>13513.05</v>
      </c>
      <c r="Q5" s="428">
        <f t="shared" si="1"/>
        <v>255025.66999999998</v>
      </c>
      <c r="R5" s="429"/>
      <c r="S5" s="429"/>
      <c r="T5" s="430">
        <v>45234</v>
      </c>
      <c r="U5" s="430"/>
      <c r="V5" s="178">
        <v>190886.81</v>
      </c>
      <c r="W5" s="178">
        <v>0</v>
      </c>
      <c r="X5" s="178">
        <v>1210</v>
      </c>
      <c r="Y5" s="178">
        <v>290.39999999999998</v>
      </c>
      <c r="Z5" s="428">
        <f t="shared" si="2"/>
        <v>192387.21</v>
      </c>
      <c r="AA5" s="429"/>
      <c r="AB5" s="430">
        <v>45264</v>
      </c>
      <c r="AC5" s="430"/>
      <c r="AD5" s="178">
        <v>161419.71</v>
      </c>
      <c r="AE5" s="178">
        <v>12672</v>
      </c>
      <c r="AF5" s="178">
        <v>210</v>
      </c>
      <c r="AG5" s="178">
        <v>3340.4</v>
      </c>
      <c r="AH5" s="428">
        <f t="shared" si="3"/>
        <v>177642.11</v>
      </c>
      <c r="AI5" s="429"/>
      <c r="AJ5" s="429"/>
      <c r="AK5" s="430">
        <v>45295</v>
      </c>
      <c r="AL5" s="430"/>
      <c r="AM5" s="178"/>
      <c r="AN5" s="178">
        <v>2713</v>
      </c>
      <c r="AO5" s="178">
        <v>29968.25</v>
      </c>
      <c r="AP5" s="178">
        <v>65364.02</v>
      </c>
      <c r="AQ5" s="428">
        <f t="shared" si="4"/>
        <v>98045.26999999999</v>
      </c>
      <c r="AR5" s="429"/>
      <c r="AS5" s="429"/>
      <c r="AT5" s="430">
        <v>45326</v>
      </c>
      <c r="AU5" s="430"/>
      <c r="AV5" s="178">
        <v>255886.44</v>
      </c>
      <c r="AW5" s="178">
        <v>2713</v>
      </c>
      <c r="AX5" s="178">
        <v>9959.98</v>
      </c>
      <c r="AY5" s="178">
        <v>11269.93</v>
      </c>
      <c r="AZ5" s="428">
        <f t="shared" si="5"/>
        <v>279829.34999999998</v>
      </c>
      <c r="BA5" s="429"/>
      <c r="BB5" s="429"/>
      <c r="BC5" s="430">
        <v>45539</v>
      </c>
      <c r="BD5" s="430"/>
      <c r="BE5" s="178"/>
      <c r="BF5" s="178">
        <v>1832</v>
      </c>
      <c r="BG5" s="178">
        <v>792.54</v>
      </c>
      <c r="BH5" s="178">
        <v>3270.71</v>
      </c>
      <c r="BI5" s="428">
        <f t="shared" si="6"/>
        <v>5895.25</v>
      </c>
      <c r="BJ5" s="429"/>
      <c r="BK5" s="429"/>
      <c r="BL5" s="621"/>
      <c r="BM5" s="39" t="s">
        <v>465</v>
      </c>
      <c r="BN5" s="39">
        <v>766</v>
      </c>
      <c r="BO5" s="39">
        <v>1982</v>
      </c>
      <c r="BP5" s="39">
        <v>833</v>
      </c>
      <c r="BQ5" s="39">
        <v>576</v>
      </c>
      <c r="BR5" s="39"/>
      <c r="BS5" s="39">
        <v>365</v>
      </c>
      <c r="BT5" s="39"/>
      <c r="BU5" s="39">
        <v>0</v>
      </c>
      <c r="BV5" s="619"/>
      <c r="BW5" s="429"/>
      <c r="BX5" s="3"/>
      <c r="BY5" s="3"/>
      <c r="BZ5" s="3"/>
    </row>
    <row r="6" spans="1:78" x14ac:dyDescent="0.25">
      <c r="A6" s="429"/>
      <c r="B6" s="429"/>
      <c r="C6" s="430">
        <v>45174</v>
      </c>
      <c r="D6" s="430"/>
      <c r="E6" s="178">
        <v>90129.84</v>
      </c>
      <c r="F6" s="178">
        <v>14270.6</v>
      </c>
      <c r="G6" s="178">
        <v>10705</v>
      </c>
      <c r="H6" s="178">
        <v>5000</v>
      </c>
      <c r="I6" s="428">
        <f t="shared" si="0"/>
        <v>120105.44</v>
      </c>
      <c r="J6" s="429"/>
      <c r="K6" s="430">
        <v>45204</v>
      </c>
      <c r="L6" s="430"/>
      <c r="M6" s="178">
        <v>89155.4</v>
      </c>
      <c r="N6" s="178">
        <v>16429.599999999999</v>
      </c>
      <c r="O6" s="178">
        <v>14760</v>
      </c>
      <c r="P6" s="178">
        <v>13513.05</v>
      </c>
      <c r="Q6" s="428">
        <f t="shared" si="1"/>
        <v>133858.04999999999</v>
      </c>
      <c r="R6" s="429"/>
      <c r="S6" s="429"/>
      <c r="T6" s="430">
        <v>45235</v>
      </c>
      <c r="U6" s="430"/>
      <c r="V6" s="178">
        <v>76298.81</v>
      </c>
      <c r="W6" s="178">
        <v>0</v>
      </c>
      <c r="X6" s="178">
        <v>1210</v>
      </c>
      <c r="Y6" s="178">
        <v>290.39999999999998</v>
      </c>
      <c r="Z6" s="428">
        <f t="shared" si="2"/>
        <v>77799.209999999992</v>
      </c>
      <c r="AA6" s="429"/>
      <c r="AB6" s="430">
        <v>45265</v>
      </c>
      <c r="AC6" s="430"/>
      <c r="AD6" s="178"/>
      <c r="AE6" s="178">
        <v>12672</v>
      </c>
      <c r="AF6" s="178">
        <v>210</v>
      </c>
      <c r="AG6" s="178">
        <v>3340.4</v>
      </c>
      <c r="AH6" s="428">
        <f t="shared" si="3"/>
        <v>16222.4</v>
      </c>
      <c r="AI6" s="429"/>
      <c r="AJ6" s="429"/>
      <c r="AK6" s="430">
        <v>45296</v>
      </c>
      <c r="AL6" s="430"/>
      <c r="AM6" s="178"/>
      <c r="AN6" s="178">
        <v>2713</v>
      </c>
      <c r="AO6" s="178">
        <v>29968.25</v>
      </c>
      <c r="AP6" s="178">
        <v>65364.02</v>
      </c>
      <c r="AQ6" s="428">
        <f t="shared" si="4"/>
        <v>98045.26999999999</v>
      </c>
      <c r="AR6" s="429"/>
      <c r="AS6" s="429"/>
      <c r="AT6" s="430">
        <v>45327</v>
      </c>
      <c r="AU6" s="430"/>
      <c r="AV6" s="178">
        <v>170986.44</v>
      </c>
      <c r="AW6" s="178">
        <v>2713</v>
      </c>
      <c r="AX6" s="178">
        <v>9959.98</v>
      </c>
      <c r="AY6" s="178">
        <v>11269.93</v>
      </c>
      <c r="AZ6" s="428">
        <f t="shared" si="5"/>
        <v>194929.35</v>
      </c>
      <c r="BA6" s="429"/>
      <c r="BB6" s="429"/>
      <c r="BC6" s="430">
        <v>45540</v>
      </c>
      <c r="BD6" s="430"/>
      <c r="BE6" s="178"/>
      <c r="BF6" s="178">
        <v>1832</v>
      </c>
      <c r="BG6" s="178">
        <v>792.54</v>
      </c>
      <c r="BH6" s="178">
        <v>3270.71</v>
      </c>
      <c r="BI6" s="428">
        <f t="shared" si="6"/>
        <v>5895.25</v>
      </c>
      <c r="BJ6" s="429"/>
      <c r="BK6" s="429"/>
      <c r="BL6" s="620" t="s">
        <v>466</v>
      </c>
      <c r="BM6" s="15" t="s">
        <v>462</v>
      </c>
      <c r="BN6" s="15">
        <v>0</v>
      </c>
      <c r="BO6" s="15">
        <v>0</v>
      </c>
      <c r="BP6" s="15">
        <v>84</v>
      </c>
      <c r="BQ6" s="15">
        <v>279</v>
      </c>
      <c r="BR6" s="15">
        <v>1405</v>
      </c>
      <c r="BS6" s="15"/>
      <c r="BT6" s="15"/>
      <c r="BU6" s="15">
        <v>0</v>
      </c>
      <c r="BV6" s="619">
        <f>SUM(BN6:BU9)</f>
        <v>11119</v>
      </c>
      <c r="BW6" s="429"/>
      <c r="BX6" s="3"/>
      <c r="BY6" s="3"/>
      <c r="BZ6" s="3"/>
    </row>
    <row r="7" spans="1:78" x14ac:dyDescent="0.25">
      <c r="A7" s="429"/>
      <c r="B7" s="429"/>
      <c r="C7" s="430">
        <v>45175</v>
      </c>
      <c r="D7" s="430"/>
      <c r="E7" s="178"/>
      <c r="F7" s="178">
        <v>14270.6</v>
      </c>
      <c r="G7" s="178">
        <v>10705</v>
      </c>
      <c r="H7" s="178">
        <v>5000</v>
      </c>
      <c r="I7" s="428">
        <f t="shared" si="0"/>
        <v>29975.599999999999</v>
      </c>
      <c r="J7" s="429"/>
      <c r="K7" s="430">
        <v>45205</v>
      </c>
      <c r="L7" s="430"/>
      <c r="M7" s="178">
        <v>88711.4</v>
      </c>
      <c r="N7" s="178">
        <v>16429.599999999999</v>
      </c>
      <c r="O7" s="178">
        <v>14760</v>
      </c>
      <c r="P7" s="178">
        <v>13513.05</v>
      </c>
      <c r="Q7" s="428">
        <f t="shared" si="1"/>
        <v>133414.04999999999</v>
      </c>
      <c r="R7" s="429"/>
      <c r="S7" s="429"/>
      <c r="T7" s="430">
        <v>45236</v>
      </c>
      <c r="U7" s="430"/>
      <c r="V7" s="178">
        <v>75113.58</v>
      </c>
      <c r="W7" s="178">
        <v>0</v>
      </c>
      <c r="X7" s="178">
        <v>6210</v>
      </c>
      <c r="Y7" s="178">
        <v>290.39999999999998</v>
      </c>
      <c r="Z7" s="428">
        <f t="shared" si="2"/>
        <v>81613.98</v>
      </c>
      <c r="AA7" s="429"/>
      <c r="AB7" s="430">
        <v>45266</v>
      </c>
      <c r="AC7" s="430"/>
      <c r="AD7" s="178"/>
      <c r="AE7" s="178">
        <v>12672</v>
      </c>
      <c r="AF7" s="178">
        <v>210</v>
      </c>
      <c r="AG7" s="178">
        <v>3340.4</v>
      </c>
      <c r="AH7" s="428">
        <f t="shared" si="3"/>
        <v>16222.4</v>
      </c>
      <c r="AI7" s="429"/>
      <c r="AJ7" s="429"/>
      <c r="AK7" s="430">
        <v>45297</v>
      </c>
      <c r="AL7" s="430"/>
      <c r="AM7" s="178"/>
      <c r="AN7" s="178">
        <v>2713</v>
      </c>
      <c r="AO7" s="178">
        <v>29968.25</v>
      </c>
      <c r="AP7" s="178">
        <v>65364.02</v>
      </c>
      <c r="AQ7" s="428">
        <f t="shared" si="4"/>
        <v>98045.26999999999</v>
      </c>
      <c r="AR7" s="429"/>
      <c r="AS7" s="429"/>
      <c r="AT7" s="430">
        <v>45328</v>
      </c>
      <c r="AU7" s="430"/>
      <c r="AV7" s="178">
        <v>144041.44</v>
      </c>
      <c r="AW7" s="178">
        <v>2713</v>
      </c>
      <c r="AX7" s="178">
        <v>9959.98</v>
      </c>
      <c r="AY7" s="178">
        <v>11269.93</v>
      </c>
      <c r="AZ7" s="428">
        <f t="shared" si="5"/>
        <v>167984.35</v>
      </c>
      <c r="BA7" s="429"/>
      <c r="BB7" s="429"/>
      <c r="BC7" s="430">
        <v>45541</v>
      </c>
      <c r="BD7" s="430"/>
      <c r="BE7" s="178"/>
      <c r="BF7" s="178">
        <v>1832</v>
      </c>
      <c r="BG7" s="178">
        <v>792.54</v>
      </c>
      <c r="BH7" s="178">
        <v>3270.71</v>
      </c>
      <c r="BI7" s="428">
        <f t="shared" si="6"/>
        <v>5895.25</v>
      </c>
      <c r="BJ7" s="429"/>
      <c r="BK7" s="429"/>
      <c r="BL7" s="618"/>
      <c r="BM7" s="15" t="s">
        <v>463</v>
      </c>
      <c r="BN7" s="15">
        <v>0</v>
      </c>
      <c r="BO7" s="15">
        <v>14</v>
      </c>
      <c r="BP7" s="15">
        <v>396</v>
      </c>
      <c r="BQ7" s="15">
        <v>698</v>
      </c>
      <c r="BR7" s="15">
        <v>1537</v>
      </c>
      <c r="BS7" s="15"/>
      <c r="BT7" s="15"/>
      <c r="BU7" s="15">
        <v>0</v>
      </c>
      <c r="BV7" s="619"/>
      <c r="BW7" s="429"/>
      <c r="BX7" s="3"/>
      <c r="BY7" s="3"/>
      <c r="BZ7" s="3"/>
    </row>
    <row r="8" spans="1:78" x14ac:dyDescent="0.25">
      <c r="A8" s="429"/>
      <c r="B8" s="429"/>
      <c r="C8" s="430">
        <v>45176</v>
      </c>
      <c r="D8" s="430"/>
      <c r="E8" s="178"/>
      <c r="F8" s="178">
        <v>14270.6</v>
      </c>
      <c r="G8" s="178">
        <v>10705</v>
      </c>
      <c r="H8" s="178">
        <v>5000</v>
      </c>
      <c r="I8" s="428">
        <f t="shared" si="0"/>
        <v>29975.599999999999</v>
      </c>
      <c r="J8" s="429"/>
      <c r="K8" s="430">
        <v>45206</v>
      </c>
      <c r="L8" s="430"/>
      <c r="M8" s="178">
        <v>88727.679999999993</v>
      </c>
      <c r="N8" s="178">
        <v>16429.599999999999</v>
      </c>
      <c r="O8" s="178">
        <v>14760</v>
      </c>
      <c r="P8" s="178">
        <v>13513.05</v>
      </c>
      <c r="Q8" s="428">
        <f t="shared" si="1"/>
        <v>133430.32999999999</v>
      </c>
      <c r="R8" s="429"/>
      <c r="S8" s="429"/>
      <c r="T8" s="430">
        <v>45237</v>
      </c>
      <c r="U8" s="430"/>
      <c r="V8" s="178">
        <v>75113.58</v>
      </c>
      <c r="W8" s="178">
        <v>0</v>
      </c>
      <c r="X8" s="178">
        <v>6210</v>
      </c>
      <c r="Y8" s="178">
        <v>290.39999999999998</v>
      </c>
      <c r="Z8" s="428">
        <f t="shared" si="2"/>
        <v>81613.98</v>
      </c>
      <c r="AA8" s="429"/>
      <c r="AB8" s="430">
        <v>45267</v>
      </c>
      <c r="AC8" s="430"/>
      <c r="AD8" s="178">
        <v>34930.879999999997</v>
      </c>
      <c r="AE8" s="178">
        <v>12672</v>
      </c>
      <c r="AF8" s="178">
        <v>10153.25</v>
      </c>
      <c r="AG8" s="178">
        <v>3340.4</v>
      </c>
      <c r="AH8" s="428">
        <f t="shared" si="3"/>
        <v>61096.53</v>
      </c>
      <c r="AI8" s="429"/>
      <c r="AJ8" s="429"/>
      <c r="AK8" s="430">
        <v>45298</v>
      </c>
      <c r="AL8" s="430"/>
      <c r="AM8" s="178"/>
      <c r="AN8" s="178">
        <v>2713</v>
      </c>
      <c r="AO8" s="178">
        <v>29968.25</v>
      </c>
      <c r="AP8" s="178">
        <v>65364.02</v>
      </c>
      <c r="AQ8" s="428">
        <f t="shared" si="4"/>
        <v>98045.26999999999</v>
      </c>
      <c r="AR8" s="429"/>
      <c r="AS8" s="429"/>
      <c r="AT8" s="430">
        <v>45329</v>
      </c>
      <c r="AU8" s="430"/>
      <c r="AV8" s="178">
        <v>124041.44</v>
      </c>
      <c r="AW8" s="178">
        <v>2713</v>
      </c>
      <c r="AX8" s="178">
        <v>9960.98</v>
      </c>
      <c r="AY8" s="178">
        <v>11269.93</v>
      </c>
      <c r="AZ8" s="428">
        <f t="shared" si="5"/>
        <v>147985.35</v>
      </c>
      <c r="BA8" s="429"/>
      <c r="BB8" s="429"/>
      <c r="BC8" s="430">
        <v>45542</v>
      </c>
      <c r="BD8" s="430"/>
      <c r="BE8" s="178"/>
      <c r="BF8" s="178">
        <v>1832</v>
      </c>
      <c r="BG8" s="178">
        <v>792.54</v>
      </c>
      <c r="BH8" s="178">
        <v>3270.71</v>
      </c>
      <c r="BI8" s="428">
        <f t="shared" si="6"/>
        <v>5895.25</v>
      </c>
      <c r="BJ8" s="429"/>
      <c r="BK8" s="429"/>
      <c r="BL8" s="618"/>
      <c r="BM8" s="15" t="s">
        <v>464</v>
      </c>
      <c r="BN8" s="15">
        <v>0</v>
      </c>
      <c r="BO8" s="15">
        <v>94</v>
      </c>
      <c r="BP8" s="15">
        <v>497</v>
      </c>
      <c r="BQ8" s="15">
        <v>1658</v>
      </c>
      <c r="BR8" s="15">
        <v>2171</v>
      </c>
      <c r="BS8" s="15"/>
      <c r="BT8" s="15"/>
      <c r="BU8" s="15">
        <v>0</v>
      </c>
      <c r="BV8" s="619"/>
      <c r="BW8" s="429"/>
      <c r="BX8" s="3"/>
      <c r="BY8" s="3"/>
      <c r="BZ8" s="3"/>
    </row>
    <row r="9" spans="1:78" x14ac:dyDescent="0.25">
      <c r="A9" s="429"/>
      <c r="B9" s="429"/>
      <c r="C9" s="430">
        <v>45177</v>
      </c>
      <c r="D9" s="430"/>
      <c r="E9" s="178"/>
      <c r="F9" s="178">
        <v>14270.6</v>
      </c>
      <c r="G9" s="178">
        <v>10705</v>
      </c>
      <c r="H9" s="178">
        <v>5000</v>
      </c>
      <c r="I9" s="428">
        <f t="shared" si="0"/>
        <v>29975.599999999999</v>
      </c>
      <c r="J9" s="429"/>
      <c r="K9" s="430">
        <v>45207</v>
      </c>
      <c r="L9" s="430"/>
      <c r="M9" s="178">
        <v>88727.679999999993</v>
      </c>
      <c r="N9" s="178">
        <v>16429.599999999999</v>
      </c>
      <c r="O9" s="178">
        <v>14760</v>
      </c>
      <c r="P9" s="178">
        <v>13513.05</v>
      </c>
      <c r="Q9" s="428">
        <f t="shared" si="1"/>
        <v>133430.32999999999</v>
      </c>
      <c r="R9" s="429"/>
      <c r="S9" s="429"/>
      <c r="T9" s="430">
        <v>45238</v>
      </c>
      <c r="U9" s="430"/>
      <c r="V9" s="178">
        <v>109950.29</v>
      </c>
      <c r="W9" s="178">
        <v>0</v>
      </c>
      <c r="X9" s="178">
        <v>6210</v>
      </c>
      <c r="Y9" s="178">
        <v>5290.4</v>
      </c>
      <c r="Z9" s="428">
        <f t="shared" si="2"/>
        <v>121450.68999999999</v>
      </c>
      <c r="AA9" s="429"/>
      <c r="AB9" s="430">
        <v>45268</v>
      </c>
      <c r="AC9" s="430"/>
      <c r="AD9" s="178">
        <v>34930.879999999997</v>
      </c>
      <c r="AE9" s="178">
        <v>12672</v>
      </c>
      <c r="AF9" s="178">
        <v>10153.25</v>
      </c>
      <c r="AG9" s="178">
        <v>3340.4</v>
      </c>
      <c r="AH9" s="428">
        <f t="shared" si="3"/>
        <v>61096.53</v>
      </c>
      <c r="AI9" s="429"/>
      <c r="AJ9" s="429"/>
      <c r="AK9" s="430">
        <v>45299</v>
      </c>
      <c r="AL9" s="430"/>
      <c r="AM9" s="178"/>
      <c r="AN9" s="178">
        <v>2713</v>
      </c>
      <c r="AO9" s="178">
        <v>29968.25</v>
      </c>
      <c r="AP9" s="178">
        <v>65364.02</v>
      </c>
      <c r="AQ9" s="428">
        <f t="shared" si="4"/>
        <v>98045.26999999999</v>
      </c>
      <c r="AR9" s="429"/>
      <c r="AS9" s="429"/>
      <c r="AT9" s="430">
        <v>45330</v>
      </c>
      <c r="AU9" s="430"/>
      <c r="AV9" s="178">
        <v>123541.44</v>
      </c>
      <c r="AW9" s="178">
        <v>2713</v>
      </c>
      <c r="AX9" s="178">
        <v>9960.98</v>
      </c>
      <c r="AY9" s="178">
        <v>11269.93</v>
      </c>
      <c r="AZ9" s="428">
        <f t="shared" si="5"/>
        <v>147485.35</v>
      </c>
      <c r="BA9" s="429"/>
      <c r="BB9" s="429"/>
      <c r="BC9" s="430">
        <v>45543</v>
      </c>
      <c r="BD9" s="430"/>
      <c r="BE9" s="178"/>
      <c r="BF9" s="178">
        <v>1772</v>
      </c>
      <c r="BG9" s="178">
        <v>792.54</v>
      </c>
      <c r="BH9" s="178">
        <v>3270.71</v>
      </c>
      <c r="BI9" s="428">
        <f t="shared" si="6"/>
        <v>5835.25</v>
      </c>
      <c r="BJ9" s="429"/>
      <c r="BK9" s="429"/>
      <c r="BL9" s="618"/>
      <c r="BM9" s="15" t="s">
        <v>465</v>
      </c>
      <c r="BN9" s="15">
        <v>0</v>
      </c>
      <c r="BO9" s="15">
        <v>429</v>
      </c>
      <c r="BP9" s="15">
        <v>158</v>
      </c>
      <c r="BQ9" s="15">
        <v>1699</v>
      </c>
      <c r="BR9" s="15"/>
      <c r="BS9" s="15"/>
      <c r="BT9" s="15"/>
      <c r="BU9" s="15">
        <v>0</v>
      </c>
      <c r="BV9" s="619"/>
      <c r="BW9" s="429"/>
      <c r="BX9" s="3"/>
      <c r="BY9" s="3"/>
      <c r="BZ9" s="3"/>
    </row>
    <row r="10" spans="1:78" x14ac:dyDescent="0.25">
      <c r="A10" s="429"/>
      <c r="B10" s="429"/>
      <c r="C10" s="430">
        <v>45178</v>
      </c>
      <c r="D10" s="430"/>
      <c r="E10" s="178">
        <v>28198.45</v>
      </c>
      <c r="F10" s="178">
        <v>14270.6</v>
      </c>
      <c r="G10" s="178">
        <v>10705</v>
      </c>
      <c r="H10" s="178">
        <v>5000</v>
      </c>
      <c r="I10" s="428">
        <f t="shared" si="0"/>
        <v>58174.05</v>
      </c>
      <c r="J10" s="429"/>
      <c r="K10" s="430">
        <v>45208</v>
      </c>
      <c r="L10" s="430"/>
      <c r="M10" s="178">
        <v>34137.68</v>
      </c>
      <c r="N10" s="178">
        <v>16429.599999999999</v>
      </c>
      <c r="O10" s="178">
        <v>14760</v>
      </c>
      <c r="P10" s="178">
        <v>13513.05</v>
      </c>
      <c r="Q10" s="428">
        <f t="shared" si="1"/>
        <v>78840.33</v>
      </c>
      <c r="R10" s="429"/>
      <c r="S10" s="429"/>
      <c r="T10" s="430">
        <v>45239</v>
      </c>
      <c r="U10" s="430"/>
      <c r="V10" s="178">
        <v>109950.29</v>
      </c>
      <c r="W10" s="178">
        <v>0</v>
      </c>
      <c r="X10" s="178">
        <v>6210</v>
      </c>
      <c r="Y10" s="178">
        <v>5290.4</v>
      </c>
      <c r="Z10" s="428">
        <f t="shared" si="2"/>
        <v>121450.68999999999</v>
      </c>
      <c r="AA10" s="429"/>
      <c r="AB10" s="430">
        <v>45269</v>
      </c>
      <c r="AC10" s="430"/>
      <c r="AD10" s="178">
        <v>34930.879999999997</v>
      </c>
      <c r="AE10" s="178">
        <v>12672</v>
      </c>
      <c r="AF10" s="178">
        <v>10035</v>
      </c>
      <c r="AG10" s="178">
        <v>3340.4</v>
      </c>
      <c r="AH10" s="428">
        <f t="shared" si="3"/>
        <v>60978.28</v>
      </c>
      <c r="AI10" s="429"/>
      <c r="AJ10" s="429"/>
      <c r="AK10" s="430">
        <v>45300</v>
      </c>
      <c r="AL10" s="430"/>
      <c r="AM10" s="178"/>
      <c r="AN10" s="178">
        <v>2713</v>
      </c>
      <c r="AO10" s="178">
        <v>29968.25</v>
      </c>
      <c r="AP10" s="178">
        <v>65364.02</v>
      </c>
      <c r="AQ10" s="428">
        <f t="shared" si="4"/>
        <v>98045.26999999999</v>
      </c>
      <c r="AR10" s="429"/>
      <c r="AS10" s="429"/>
      <c r="AT10" s="430">
        <v>45331</v>
      </c>
      <c r="AU10" s="430"/>
      <c r="AV10" s="178">
        <v>124041.44</v>
      </c>
      <c r="AW10" s="178">
        <v>2713</v>
      </c>
      <c r="AX10" s="178">
        <v>9960.98</v>
      </c>
      <c r="AY10" s="178">
        <v>11269.93</v>
      </c>
      <c r="AZ10" s="428">
        <f t="shared" si="5"/>
        <v>147985.35</v>
      </c>
      <c r="BA10" s="429"/>
      <c r="BB10" s="429"/>
      <c r="BC10" s="430">
        <v>45544</v>
      </c>
      <c r="BD10" s="430"/>
      <c r="BE10" s="178"/>
      <c r="BF10" s="178">
        <v>1772</v>
      </c>
      <c r="BG10" s="178">
        <v>792.54</v>
      </c>
      <c r="BH10" s="178">
        <v>3270.71</v>
      </c>
      <c r="BI10" s="428">
        <f t="shared" si="6"/>
        <v>5835.25</v>
      </c>
      <c r="BJ10" s="429"/>
      <c r="BK10" s="429"/>
      <c r="BL10" s="622" t="s">
        <v>467</v>
      </c>
      <c r="BM10" s="39" t="s">
        <v>462</v>
      </c>
      <c r="BN10" s="39"/>
      <c r="BO10" s="39">
        <v>193.94</v>
      </c>
      <c r="BP10" s="39">
        <v>100</v>
      </c>
      <c r="BQ10" s="39">
        <v>166</v>
      </c>
      <c r="BR10" s="39">
        <v>156</v>
      </c>
      <c r="BS10" s="39">
        <v>175</v>
      </c>
      <c r="BT10" s="39"/>
      <c r="BU10" s="39">
        <v>0</v>
      </c>
      <c r="BV10" s="619">
        <f t="shared" ref="BV10" si="7">SUM(BN10:BU13)</f>
        <v>2989.6400000000003</v>
      </c>
      <c r="BW10" s="429"/>
      <c r="BX10" s="3"/>
      <c r="BY10" s="3"/>
      <c r="BZ10" s="3"/>
    </row>
    <row r="11" spans="1:78" x14ac:dyDescent="0.25">
      <c r="A11" s="429"/>
      <c r="B11" s="429"/>
      <c r="C11" s="430">
        <v>45179</v>
      </c>
      <c r="D11" s="430"/>
      <c r="E11" s="178"/>
      <c r="F11" s="178">
        <v>14270.6</v>
      </c>
      <c r="G11" s="178">
        <v>10705</v>
      </c>
      <c r="H11" s="178">
        <v>5000</v>
      </c>
      <c r="I11" s="428">
        <f t="shared" si="0"/>
        <v>29975.599999999999</v>
      </c>
      <c r="J11" s="429"/>
      <c r="K11" s="430">
        <v>45209</v>
      </c>
      <c r="L11" s="430"/>
      <c r="M11" s="178">
        <v>47137.68</v>
      </c>
      <c r="N11" s="178">
        <v>6429.6</v>
      </c>
      <c r="O11" s="178">
        <v>11710</v>
      </c>
      <c r="P11" s="178">
        <v>7990.4</v>
      </c>
      <c r="Q11" s="428">
        <f t="shared" si="1"/>
        <v>73267.679999999993</v>
      </c>
      <c r="R11" s="429"/>
      <c r="S11" s="429"/>
      <c r="T11" s="430">
        <v>45240</v>
      </c>
      <c r="U11" s="430"/>
      <c r="V11" s="178">
        <v>109925.29</v>
      </c>
      <c r="W11" s="178">
        <v>0</v>
      </c>
      <c r="X11" s="178">
        <v>6210</v>
      </c>
      <c r="Y11" s="178">
        <v>5290.4</v>
      </c>
      <c r="Z11" s="428">
        <f t="shared" si="2"/>
        <v>121425.68999999999</v>
      </c>
      <c r="AA11" s="429"/>
      <c r="AB11" s="430">
        <v>45270</v>
      </c>
      <c r="AC11" s="430"/>
      <c r="AD11" s="178">
        <v>1205.8800000000001</v>
      </c>
      <c r="AE11" s="178">
        <v>12672</v>
      </c>
      <c r="AF11" s="178">
        <v>10035</v>
      </c>
      <c r="AG11" s="178">
        <v>3340.4</v>
      </c>
      <c r="AH11" s="428">
        <f t="shared" si="3"/>
        <v>27253.280000000002</v>
      </c>
      <c r="AI11" s="429"/>
      <c r="AJ11" s="429"/>
      <c r="AK11" s="430">
        <v>45301</v>
      </c>
      <c r="AL11" s="430"/>
      <c r="AM11" s="178">
        <v>112453.94</v>
      </c>
      <c r="AN11" s="178">
        <v>2713</v>
      </c>
      <c r="AO11" s="178">
        <v>29968.25</v>
      </c>
      <c r="AP11" s="178">
        <v>65364.02</v>
      </c>
      <c r="AQ11" s="428">
        <f t="shared" si="4"/>
        <v>210499.21</v>
      </c>
      <c r="AR11" s="429"/>
      <c r="AS11" s="429"/>
      <c r="AT11" s="430">
        <v>45332</v>
      </c>
      <c r="AU11" s="430"/>
      <c r="AV11" s="178">
        <v>82024.44</v>
      </c>
      <c r="AW11" s="178">
        <v>2713</v>
      </c>
      <c r="AX11" s="178">
        <v>9960.98</v>
      </c>
      <c r="AY11" s="178">
        <v>11269.93</v>
      </c>
      <c r="AZ11" s="428">
        <f t="shared" si="5"/>
        <v>105968.35</v>
      </c>
      <c r="BA11" s="429"/>
      <c r="BB11" s="429"/>
      <c r="BC11" s="430">
        <v>45545</v>
      </c>
      <c r="BD11" s="430"/>
      <c r="BE11" s="178"/>
      <c r="BF11" s="178">
        <v>1772</v>
      </c>
      <c r="BG11" s="178">
        <v>592.54</v>
      </c>
      <c r="BH11" s="178">
        <v>3270.71</v>
      </c>
      <c r="BI11" s="428">
        <f t="shared" si="6"/>
        <v>5635.25</v>
      </c>
      <c r="BJ11" s="429"/>
      <c r="BK11" s="429"/>
      <c r="BL11" s="621"/>
      <c r="BM11" s="39" t="s">
        <v>463</v>
      </c>
      <c r="BN11" s="39">
        <v>3.27</v>
      </c>
      <c r="BO11" s="39">
        <v>78.05</v>
      </c>
      <c r="BP11" s="39">
        <v>133</v>
      </c>
      <c r="BQ11" s="39">
        <v>255</v>
      </c>
      <c r="BR11" s="39">
        <v>131</v>
      </c>
      <c r="BS11" s="39">
        <v>137</v>
      </c>
      <c r="BT11" s="39"/>
      <c r="BU11" s="39">
        <v>0</v>
      </c>
      <c r="BV11" s="619"/>
      <c r="BW11" s="429"/>
      <c r="BX11" s="3"/>
      <c r="BY11" s="3"/>
      <c r="BZ11" s="3"/>
    </row>
    <row r="12" spans="1:78" x14ac:dyDescent="0.25">
      <c r="A12" s="429"/>
      <c r="B12" s="429"/>
      <c r="C12" s="430">
        <v>45180</v>
      </c>
      <c r="D12" s="430"/>
      <c r="E12" s="178"/>
      <c r="F12" s="178">
        <v>14270.6</v>
      </c>
      <c r="G12" s="178">
        <v>10705</v>
      </c>
      <c r="H12" s="178">
        <v>5000</v>
      </c>
      <c r="I12" s="428">
        <f t="shared" si="0"/>
        <v>29975.599999999999</v>
      </c>
      <c r="J12" s="429"/>
      <c r="K12" s="430">
        <v>45210</v>
      </c>
      <c r="L12" s="430"/>
      <c r="M12" s="178">
        <v>47137.68</v>
      </c>
      <c r="N12" s="178">
        <v>6429.6</v>
      </c>
      <c r="O12" s="178">
        <v>11710</v>
      </c>
      <c r="P12" s="178">
        <v>7990.4</v>
      </c>
      <c r="Q12" s="428">
        <f t="shared" si="1"/>
        <v>73267.679999999993</v>
      </c>
      <c r="R12" s="429"/>
      <c r="S12" s="429"/>
      <c r="T12" s="430">
        <v>45241</v>
      </c>
      <c r="U12" s="430"/>
      <c r="V12" s="178">
        <v>109925.29</v>
      </c>
      <c r="W12" s="178">
        <v>0</v>
      </c>
      <c r="X12" s="178">
        <v>6210</v>
      </c>
      <c r="Y12" s="178">
        <v>5290.4</v>
      </c>
      <c r="Z12" s="428">
        <f t="shared" si="2"/>
        <v>121425.68999999999</v>
      </c>
      <c r="AA12" s="429"/>
      <c r="AB12" s="430">
        <v>45271</v>
      </c>
      <c r="AC12" s="430"/>
      <c r="AD12" s="178">
        <v>1205.8800000000001</v>
      </c>
      <c r="AE12" s="178">
        <v>2672</v>
      </c>
      <c r="AF12" s="178">
        <v>10035</v>
      </c>
      <c r="AG12" s="178">
        <v>3340.4</v>
      </c>
      <c r="AH12" s="428">
        <f t="shared" si="3"/>
        <v>17253.280000000002</v>
      </c>
      <c r="AI12" s="429"/>
      <c r="AJ12" s="429"/>
      <c r="AK12" s="430">
        <v>45302</v>
      </c>
      <c r="AL12" s="430"/>
      <c r="AM12" s="178">
        <v>67456.94</v>
      </c>
      <c r="AN12" s="178">
        <v>2713</v>
      </c>
      <c r="AO12" s="178">
        <v>29968.25</v>
      </c>
      <c r="AP12" s="178">
        <v>59130.02</v>
      </c>
      <c r="AQ12" s="428">
        <f t="shared" si="4"/>
        <v>159268.21</v>
      </c>
      <c r="AR12" s="429"/>
      <c r="AS12" s="429"/>
      <c r="AT12" s="430">
        <v>45333</v>
      </c>
      <c r="AU12" s="430"/>
      <c r="AV12" s="178">
        <v>52893.02</v>
      </c>
      <c r="AW12" s="178">
        <v>2713</v>
      </c>
      <c r="AX12" s="178">
        <v>9960.98</v>
      </c>
      <c r="AY12" s="178">
        <v>11269.93</v>
      </c>
      <c r="AZ12" s="428">
        <f t="shared" si="5"/>
        <v>76836.929999999993</v>
      </c>
      <c r="BA12" s="429"/>
      <c r="BB12" s="429"/>
      <c r="BC12" s="430">
        <v>45546</v>
      </c>
      <c r="BD12" s="430"/>
      <c r="BE12" s="178"/>
      <c r="BF12" s="178">
        <v>1772</v>
      </c>
      <c r="BG12" s="178">
        <v>592.54</v>
      </c>
      <c r="BH12" s="178">
        <v>3270.71</v>
      </c>
      <c r="BI12" s="428">
        <f t="shared" si="6"/>
        <v>5635.25</v>
      </c>
      <c r="BJ12" s="429"/>
      <c r="BK12" s="429"/>
      <c r="BL12" s="621"/>
      <c r="BM12" s="39" t="s">
        <v>464</v>
      </c>
      <c r="BN12" s="39">
        <v>114.6</v>
      </c>
      <c r="BO12" s="39">
        <v>157.72999999999999</v>
      </c>
      <c r="BP12" s="39">
        <v>74</v>
      </c>
      <c r="BQ12" s="39">
        <v>250</v>
      </c>
      <c r="BR12" s="39">
        <v>117</v>
      </c>
      <c r="BS12" s="39">
        <v>136</v>
      </c>
      <c r="BT12" s="39"/>
      <c r="BU12" s="39">
        <v>0</v>
      </c>
      <c r="BV12" s="619"/>
      <c r="BW12" s="429"/>
      <c r="BX12" s="3"/>
      <c r="BY12" s="3"/>
      <c r="BZ12" s="3"/>
    </row>
    <row r="13" spans="1:78" x14ac:dyDescent="0.25">
      <c r="A13" s="429"/>
      <c r="B13" s="429"/>
      <c r="C13" s="430">
        <v>45181</v>
      </c>
      <c r="D13" s="430"/>
      <c r="E13" s="178">
        <v>25338.45</v>
      </c>
      <c r="F13" s="178">
        <v>14270.6</v>
      </c>
      <c r="G13" s="178">
        <v>10705</v>
      </c>
      <c r="H13" s="178">
        <v>5000</v>
      </c>
      <c r="I13" s="428">
        <f t="shared" si="0"/>
        <v>55314.05</v>
      </c>
      <c r="J13" s="429"/>
      <c r="K13" s="430">
        <v>45211</v>
      </c>
      <c r="L13" s="430"/>
      <c r="M13" s="178">
        <v>44302.68</v>
      </c>
      <c r="N13" s="178">
        <v>6429.6</v>
      </c>
      <c r="O13" s="178">
        <v>11710</v>
      </c>
      <c r="P13" s="178">
        <v>7990.4</v>
      </c>
      <c r="Q13" s="428">
        <f t="shared" si="1"/>
        <v>70432.679999999993</v>
      </c>
      <c r="R13" s="429"/>
      <c r="S13" s="429"/>
      <c r="T13" s="430">
        <v>45242</v>
      </c>
      <c r="U13" s="430"/>
      <c r="V13" s="178">
        <v>109925.29</v>
      </c>
      <c r="W13" s="178">
        <v>9250</v>
      </c>
      <c r="X13" s="178">
        <v>6210</v>
      </c>
      <c r="Y13" s="178">
        <v>5290.4</v>
      </c>
      <c r="Z13" s="428">
        <f t="shared" si="2"/>
        <v>130675.68999999999</v>
      </c>
      <c r="AA13" s="429"/>
      <c r="AB13" s="430">
        <v>45272</v>
      </c>
      <c r="AC13" s="430"/>
      <c r="AD13" s="178"/>
      <c r="AE13" s="178">
        <v>2672</v>
      </c>
      <c r="AF13" s="178">
        <v>10035</v>
      </c>
      <c r="AG13" s="178">
        <v>3340.4</v>
      </c>
      <c r="AH13" s="428">
        <f t="shared" si="3"/>
        <v>16047.4</v>
      </c>
      <c r="AI13" s="429"/>
      <c r="AJ13" s="429"/>
      <c r="AK13" s="430">
        <v>45303</v>
      </c>
      <c r="AL13" s="430"/>
      <c r="AM13" s="178">
        <v>38669.94</v>
      </c>
      <c r="AN13" s="178">
        <v>2713</v>
      </c>
      <c r="AO13" s="178">
        <v>29968.25</v>
      </c>
      <c r="AP13" s="178">
        <v>22790.02</v>
      </c>
      <c r="AQ13" s="428">
        <f t="shared" si="4"/>
        <v>94141.21</v>
      </c>
      <c r="AR13" s="429"/>
      <c r="AS13" s="429"/>
      <c r="AT13" s="430">
        <v>45334</v>
      </c>
      <c r="AU13" s="430"/>
      <c r="AV13" s="178">
        <v>52893.02</v>
      </c>
      <c r="AW13" s="178">
        <v>2713</v>
      </c>
      <c r="AX13" s="178">
        <v>9960.98</v>
      </c>
      <c r="AY13" s="178">
        <v>11269.93</v>
      </c>
      <c r="AZ13" s="428">
        <f t="shared" si="5"/>
        <v>76836.929999999993</v>
      </c>
      <c r="BA13" s="429"/>
      <c r="BB13" s="429"/>
      <c r="BC13" s="430">
        <v>45547</v>
      </c>
      <c r="BD13" s="430"/>
      <c r="BE13" s="178"/>
      <c r="BF13" s="178">
        <v>1666</v>
      </c>
      <c r="BG13" s="178">
        <v>592.54</v>
      </c>
      <c r="BH13" s="178">
        <v>2970.71</v>
      </c>
      <c r="BI13" s="428">
        <f t="shared" si="6"/>
        <v>5229.25</v>
      </c>
      <c r="BJ13" s="429"/>
      <c r="BK13" s="429"/>
      <c r="BL13" s="621"/>
      <c r="BM13" s="39" t="s">
        <v>465</v>
      </c>
      <c r="BN13" s="39">
        <v>216.76</v>
      </c>
      <c r="BO13" s="39">
        <v>73.290000000000006</v>
      </c>
      <c r="BP13" s="39" t="s">
        <v>340</v>
      </c>
      <c r="BQ13" s="39">
        <v>158</v>
      </c>
      <c r="BR13" s="39">
        <v>164</v>
      </c>
      <c r="BS13" s="39"/>
      <c r="BT13" s="39"/>
      <c r="BU13" s="39">
        <v>0</v>
      </c>
      <c r="BV13" s="619"/>
      <c r="BW13" s="429"/>
      <c r="BX13" s="3"/>
      <c r="BY13" s="3"/>
      <c r="BZ13" s="3"/>
    </row>
    <row r="14" spans="1:78" x14ac:dyDescent="0.25">
      <c r="A14" s="429"/>
      <c r="B14" s="429"/>
      <c r="C14" s="430">
        <v>45182</v>
      </c>
      <c r="D14" s="430"/>
      <c r="E14" s="178">
        <v>25338.45</v>
      </c>
      <c r="F14" s="178">
        <v>14270.6</v>
      </c>
      <c r="G14" s="178">
        <v>10705</v>
      </c>
      <c r="H14" s="178">
        <v>5000</v>
      </c>
      <c r="I14" s="428">
        <f t="shared" si="0"/>
        <v>55314.05</v>
      </c>
      <c r="J14" s="429"/>
      <c r="K14" s="430">
        <v>45212</v>
      </c>
      <c r="L14" s="430"/>
      <c r="M14" s="178">
        <v>40802.68</v>
      </c>
      <c r="N14" s="178">
        <v>6429.6</v>
      </c>
      <c r="O14" s="178">
        <v>11710</v>
      </c>
      <c r="P14" s="178">
        <v>7990.4</v>
      </c>
      <c r="Q14" s="428">
        <f t="shared" si="1"/>
        <v>66932.679999999993</v>
      </c>
      <c r="R14" s="429"/>
      <c r="S14" s="429"/>
      <c r="T14" s="430">
        <v>45243</v>
      </c>
      <c r="U14" s="430"/>
      <c r="V14" s="178">
        <v>70139.98</v>
      </c>
      <c r="W14" s="178">
        <v>8470</v>
      </c>
      <c r="X14" s="178">
        <v>6210</v>
      </c>
      <c r="Y14" s="178">
        <v>5290.4</v>
      </c>
      <c r="Z14" s="428">
        <f t="shared" si="2"/>
        <v>90110.37999999999</v>
      </c>
      <c r="AA14" s="429"/>
      <c r="AB14" s="430">
        <v>45273</v>
      </c>
      <c r="AC14" s="430"/>
      <c r="AD14" s="178"/>
      <c r="AE14" s="178">
        <v>2672</v>
      </c>
      <c r="AF14" s="178">
        <v>10035</v>
      </c>
      <c r="AG14" s="178">
        <v>3340.4</v>
      </c>
      <c r="AH14" s="428">
        <f t="shared" si="3"/>
        <v>16047.4</v>
      </c>
      <c r="AI14" s="429"/>
      <c r="AJ14" s="429"/>
      <c r="AK14" s="430">
        <v>45304</v>
      </c>
      <c r="AL14" s="430"/>
      <c r="AM14" s="178">
        <v>58649.94</v>
      </c>
      <c r="AN14" s="178">
        <v>2713</v>
      </c>
      <c r="AO14" s="178">
        <v>29968.25</v>
      </c>
      <c r="AP14" s="178">
        <v>22790.02</v>
      </c>
      <c r="AQ14" s="428">
        <f t="shared" si="4"/>
        <v>114121.21</v>
      </c>
      <c r="AR14" s="429"/>
      <c r="AS14" s="429"/>
      <c r="AT14" s="430">
        <v>45335</v>
      </c>
      <c r="AU14" s="430"/>
      <c r="AV14" s="178">
        <v>52893.02</v>
      </c>
      <c r="AW14" s="178">
        <v>2713</v>
      </c>
      <c r="AX14" s="178">
        <v>9961.98</v>
      </c>
      <c r="AY14" s="178">
        <v>11269.93</v>
      </c>
      <c r="AZ14" s="428">
        <f t="shared" si="5"/>
        <v>76837.929999999993</v>
      </c>
      <c r="BA14" s="429"/>
      <c r="BB14" s="429"/>
      <c r="BC14" s="430">
        <v>45548</v>
      </c>
      <c r="BD14" s="430"/>
      <c r="BE14" s="178"/>
      <c r="BF14" s="178">
        <v>1666</v>
      </c>
      <c r="BG14" s="178">
        <v>592.54</v>
      </c>
      <c r="BH14" s="178">
        <v>2970.71</v>
      </c>
      <c r="BI14" s="428">
        <f t="shared" si="6"/>
        <v>5229.25</v>
      </c>
      <c r="BJ14" s="429"/>
      <c r="BK14" s="429"/>
      <c r="BL14" s="620" t="s">
        <v>468</v>
      </c>
      <c r="BM14" s="15" t="s">
        <v>462</v>
      </c>
      <c r="BN14" s="369"/>
      <c r="BO14" s="369"/>
      <c r="BP14" s="369"/>
      <c r="BQ14" s="369"/>
      <c r="BR14" s="15">
        <v>73</v>
      </c>
      <c r="BS14" s="15">
        <v>96</v>
      </c>
      <c r="BT14" s="15"/>
      <c r="BU14" s="15">
        <v>0</v>
      </c>
      <c r="BV14" s="619">
        <f t="shared" ref="BV14" si="8">SUM(BN14:BU17)</f>
        <v>771</v>
      </c>
      <c r="BW14" s="429"/>
      <c r="BX14" s="3"/>
      <c r="BY14" s="3"/>
      <c r="BZ14" s="3"/>
    </row>
    <row r="15" spans="1:78" x14ac:dyDescent="0.25">
      <c r="A15" s="429"/>
      <c r="B15" s="429"/>
      <c r="C15" s="430">
        <v>45183</v>
      </c>
      <c r="D15" s="430"/>
      <c r="E15" s="178">
        <v>25338.45</v>
      </c>
      <c r="F15" s="178">
        <v>14270.6</v>
      </c>
      <c r="G15" s="178">
        <v>10705</v>
      </c>
      <c r="H15" s="178">
        <v>5000</v>
      </c>
      <c r="I15" s="428">
        <f t="shared" si="0"/>
        <v>55314.05</v>
      </c>
      <c r="J15" s="429"/>
      <c r="K15" s="430">
        <v>45213</v>
      </c>
      <c r="L15" s="430"/>
      <c r="M15" s="178">
        <v>40802.68</v>
      </c>
      <c r="N15" s="178">
        <v>6429.6</v>
      </c>
      <c r="O15" s="178">
        <v>11710</v>
      </c>
      <c r="P15" s="178">
        <v>7990.4</v>
      </c>
      <c r="Q15" s="428">
        <f t="shared" si="1"/>
        <v>66932.679999999993</v>
      </c>
      <c r="R15" s="429"/>
      <c r="S15" s="429"/>
      <c r="T15" s="430">
        <v>45244</v>
      </c>
      <c r="U15" s="430"/>
      <c r="V15" s="178">
        <v>70139.98</v>
      </c>
      <c r="W15" s="178">
        <v>8470</v>
      </c>
      <c r="X15" s="178">
        <v>6210</v>
      </c>
      <c r="Y15" s="178">
        <v>5290.4</v>
      </c>
      <c r="Z15" s="428">
        <f t="shared" si="2"/>
        <v>90110.37999999999</v>
      </c>
      <c r="AA15" s="429"/>
      <c r="AB15" s="430">
        <v>45274</v>
      </c>
      <c r="AC15" s="430"/>
      <c r="AD15" s="178"/>
      <c r="AE15" s="178">
        <v>2672</v>
      </c>
      <c r="AF15" s="178">
        <v>10035</v>
      </c>
      <c r="AG15" s="178">
        <v>3340.4</v>
      </c>
      <c r="AH15" s="428">
        <f t="shared" si="3"/>
        <v>16047.4</v>
      </c>
      <c r="AI15" s="429"/>
      <c r="AJ15" s="429"/>
      <c r="AK15" s="430">
        <v>45305</v>
      </c>
      <c r="AL15" s="430"/>
      <c r="AM15" s="178">
        <v>58649.94</v>
      </c>
      <c r="AN15" s="178">
        <v>2713</v>
      </c>
      <c r="AO15" s="178">
        <v>29968.25</v>
      </c>
      <c r="AP15" s="178">
        <v>22790.02</v>
      </c>
      <c r="AQ15" s="428">
        <f t="shared" si="4"/>
        <v>114121.21</v>
      </c>
      <c r="AR15" s="429"/>
      <c r="AS15" s="429"/>
      <c r="AT15" s="430">
        <v>45336</v>
      </c>
      <c r="AU15" s="430"/>
      <c r="AV15" s="178">
        <v>34893.019999999997</v>
      </c>
      <c r="AW15" s="178">
        <v>2713</v>
      </c>
      <c r="AX15" s="178">
        <v>9961.98</v>
      </c>
      <c r="AY15" s="178">
        <v>11269.93</v>
      </c>
      <c r="AZ15" s="428">
        <f t="shared" si="5"/>
        <v>58837.93</v>
      </c>
      <c r="BA15" s="429"/>
      <c r="BB15" s="429"/>
      <c r="BC15" s="430">
        <v>45549</v>
      </c>
      <c r="BD15" s="430"/>
      <c r="BE15" s="178"/>
      <c r="BF15" s="178">
        <v>1666</v>
      </c>
      <c r="BG15" s="178">
        <v>592.54</v>
      </c>
      <c r="BH15" s="178">
        <v>2970.71</v>
      </c>
      <c r="BI15" s="428">
        <f t="shared" si="6"/>
        <v>5229.25</v>
      </c>
      <c r="BJ15" s="429"/>
      <c r="BK15" s="429"/>
      <c r="BL15" s="618"/>
      <c r="BM15" s="15" t="s">
        <v>463</v>
      </c>
      <c r="BN15" s="369"/>
      <c r="BO15" s="369"/>
      <c r="BP15" s="369"/>
      <c r="BQ15" s="369"/>
      <c r="BR15" s="15">
        <v>191</v>
      </c>
      <c r="BS15" s="15">
        <v>98</v>
      </c>
      <c r="BT15" s="15"/>
      <c r="BU15" s="15">
        <v>0</v>
      </c>
      <c r="BV15" s="619"/>
      <c r="BW15" s="429"/>
      <c r="BX15" s="3"/>
      <c r="BY15" s="3"/>
      <c r="BZ15" s="3"/>
    </row>
    <row r="16" spans="1:78" x14ac:dyDescent="0.25">
      <c r="A16" s="429"/>
      <c r="B16" s="429"/>
      <c r="C16" s="430">
        <v>45184</v>
      </c>
      <c r="D16" s="430"/>
      <c r="E16" s="178">
        <v>25338.45</v>
      </c>
      <c r="F16" s="178">
        <v>14270.6</v>
      </c>
      <c r="G16" s="178">
        <v>10705</v>
      </c>
      <c r="H16" s="178">
        <v>5000</v>
      </c>
      <c r="I16" s="428">
        <f t="shared" si="0"/>
        <v>55314.05</v>
      </c>
      <c r="J16" s="429"/>
      <c r="K16" s="430">
        <v>45214</v>
      </c>
      <c r="L16" s="430"/>
      <c r="M16" s="178">
        <v>832.4</v>
      </c>
      <c r="N16" s="178">
        <v>6429.6</v>
      </c>
      <c r="O16" s="178">
        <v>11710</v>
      </c>
      <c r="P16" s="178">
        <v>7990.4</v>
      </c>
      <c r="Q16" s="428">
        <f t="shared" si="1"/>
        <v>26962.400000000001</v>
      </c>
      <c r="R16" s="429"/>
      <c r="S16" s="429"/>
      <c r="T16" s="430">
        <v>45245</v>
      </c>
      <c r="U16" s="430"/>
      <c r="V16" s="178">
        <v>70139.98</v>
      </c>
      <c r="W16" s="178">
        <v>8470</v>
      </c>
      <c r="X16" s="178">
        <v>6210</v>
      </c>
      <c r="Y16" s="178">
        <v>5290.4</v>
      </c>
      <c r="Z16" s="428">
        <f t="shared" si="2"/>
        <v>90110.37999999999</v>
      </c>
      <c r="AA16" s="429"/>
      <c r="AB16" s="430">
        <v>45275</v>
      </c>
      <c r="AC16" s="430"/>
      <c r="AD16" s="178"/>
      <c r="AE16" s="178">
        <v>2672</v>
      </c>
      <c r="AF16" s="178">
        <v>10035</v>
      </c>
      <c r="AG16" s="178">
        <v>3340.4</v>
      </c>
      <c r="AH16" s="428">
        <f t="shared" si="3"/>
        <v>16047.4</v>
      </c>
      <c r="AI16" s="429"/>
      <c r="AJ16" s="429"/>
      <c r="AK16" s="430">
        <v>45306</v>
      </c>
      <c r="AL16" s="430"/>
      <c r="AM16" s="178">
        <v>52657.94</v>
      </c>
      <c r="AN16" s="178">
        <v>2713</v>
      </c>
      <c r="AO16" s="178">
        <v>29968.25</v>
      </c>
      <c r="AP16" s="178">
        <v>22790.02</v>
      </c>
      <c r="AQ16" s="428">
        <f t="shared" si="4"/>
        <v>108129.21</v>
      </c>
      <c r="AR16" s="429"/>
      <c r="AS16" s="429"/>
      <c r="AT16" s="430">
        <v>45337</v>
      </c>
      <c r="AU16" s="430"/>
      <c r="AV16" s="178"/>
      <c r="AW16" s="178">
        <v>2713</v>
      </c>
      <c r="AX16" s="178"/>
      <c r="AY16" s="178">
        <v>11269.93</v>
      </c>
      <c r="AZ16" s="428">
        <f t="shared" si="5"/>
        <v>13982.93</v>
      </c>
      <c r="BA16" s="429"/>
      <c r="BB16" s="429"/>
      <c r="BC16" s="430">
        <v>45550</v>
      </c>
      <c r="BD16" s="430"/>
      <c r="BE16" s="178"/>
      <c r="BF16" s="178">
        <v>1666</v>
      </c>
      <c r="BG16" s="178">
        <v>592.54</v>
      </c>
      <c r="BH16" s="178">
        <v>2745.71</v>
      </c>
      <c r="BI16" s="428">
        <f t="shared" si="6"/>
        <v>5004.25</v>
      </c>
      <c r="BJ16" s="429"/>
      <c r="BK16" s="429"/>
      <c r="BL16" s="618"/>
      <c r="BM16" s="15" t="s">
        <v>464</v>
      </c>
      <c r="BN16" s="369"/>
      <c r="BO16" s="369"/>
      <c r="BP16" s="369"/>
      <c r="BQ16" s="369"/>
      <c r="BR16" s="15">
        <v>109</v>
      </c>
      <c r="BS16" s="15">
        <v>99</v>
      </c>
      <c r="BT16" s="15"/>
      <c r="BU16" s="15">
        <v>0</v>
      </c>
      <c r="BV16" s="619"/>
      <c r="BW16" s="429"/>
      <c r="BX16" s="3"/>
      <c r="BY16" s="3"/>
      <c r="BZ16" s="3"/>
    </row>
    <row r="17" spans="1:78" x14ac:dyDescent="0.25">
      <c r="A17" s="429"/>
      <c r="B17" s="429"/>
      <c r="C17" s="430">
        <v>45185</v>
      </c>
      <c r="D17" s="430"/>
      <c r="E17" s="178">
        <v>25338.45</v>
      </c>
      <c r="F17" s="178">
        <v>14270.6</v>
      </c>
      <c r="G17" s="178">
        <v>10705</v>
      </c>
      <c r="H17" s="178">
        <v>5000</v>
      </c>
      <c r="I17" s="428">
        <f t="shared" si="0"/>
        <v>55314.05</v>
      </c>
      <c r="J17" s="429"/>
      <c r="K17" s="430">
        <v>45215</v>
      </c>
      <c r="L17" s="430"/>
      <c r="M17" s="178">
        <v>1704.11</v>
      </c>
      <c r="N17" s="178">
        <v>0</v>
      </c>
      <c r="O17" s="178">
        <v>1710</v>
      </c>
      <c r="P17" s="178">
        <v>1490.4</v>
      </c>
      <c r="Q17" s="428">
        <f t="shared" si="1"/>
        <v>4904.51</v>
      </c>
      <c r="R17" s="429"/>
      <c r="S17" s="429"/>
      <c r="T17" s="430">
        <v>45246</v>
      </c>
      <c r="U17" s="430"/>
      <c r="V17" s="178">
        <v>69344.98</v>
      </c>
      <c r="W17" s="178">
        <v>3470</v>
      </c>
      <c r="X17" s="178">
        <v>6210</v>
      </c>
      <c r="Y17" s="178">
        <v>5290.4</v>
      </c>
      <c r="Z17" s="428">
        <f t="shared" si="2"/>
        <v>84315.37999999999</v>
      </c>
      <c r="AA17" s="429"/>
      <c r="AB17" s="430">
        <v>45276</v>
      </c>
      <c r="AC17" s="430"/>
      <c r="AD17" s="178"/>
      <c r="AE17" s="178">
        <v>2672</v>
      </c>
      <c r="AF17" s="178">
        <v>9925</v>
      </c>
      <c r="AG17" s="178">
        <v>3340.4</v>
      </c>
      <c r="AH17" s="428">
        <f t="shared" si="3"/>
        <v>15937.4</v>
      </c>
      <c r="AI17" s="429"/>
      <c r="AJ17" s="429"/>
      <c r="AK17" s="430">
        <v>45307</v>
      </c>
      <c r="AL17" s="430"/>
      <c r="AM17" s="178">
        <v>52657.94</v>
      </c>
      <c r="AN17" s="178">
        <v>2713</v>
      </c>
      <c r="AO17" s="178">
        <v>29968.25</v>
      </c>
      <c r="AP17" s="178">
        <v>22790.02</v>
      </c>
      <c r="AQ17" s="428">
        <f t="shared" si="4"/>
        <v>108129.21</v>
      </c>
      <c r="AR17" s="429"/>
      <c r="AS17" s="429"/>
      <c r="AT17" s="430">
        <v>45338</v>
      </c>
      <c r="AU17" s="430"/>
      <c r="AV17" s="178"/>
      <c r="AW17" s="178">
        <v>2713</v>
      </c>
      <c r="AX17" s="178"/>
      <c r="AY17" s="178">
        <v>11269.93</v>
      </c>
      <c r="AZ17" s="428">
        <f t="shared" si="5"/>
        <v>13982.93</v>
      </c>
      <c r="BA17" s="429"/>
      <c r="BB17" s="429"/>
      <c r="BC17" s="430">
        <v>45551</v>
      </c>
      <c r="BD17" s="430"/>
      <c r="BE17" s="178"/>
      <c r="BF17" s="178">
        <v>1666</v>
      </c>
      <c r="BG17" s="178">
        <v>10912.54</v>
      </c>
      <c r="BH17" s="178">
        <v>2745.71</v>
      </c>
      <c r="BI17" s="428">
        <f t="shared" si="6"/>
        <v>15324.25</v>
      </c>
      <c r="BJ17" s="429"/>
      <c r="BK17" s="429"/>
      <c r="BL17" s="618"/>
      <c r="BM17" s="15" t="s">
        <v>465</v>
      </c>
      <c r="BN17" s="369"/>
      <c r="BO17" s="369"/>
      <c r="BP17" s="369"/>
      <c r="BQ17" s="369"/>
      <c r="BR17" s="15">
        <v>105</v>
      </c>
      <c r="BS17" s="15"/>
      <c r="BT17" s="15"/>
      <c r="BU17" s="15">
        <v>0</v>
      </c>
      <c r="BV17" s="619"/>
      <c r="BW17" s="429"/>
      <c r="BX17" s="3"/>
      <c r="BY17" s="3"/>
      <c r="BZ17" s="3"/>
    </row>
    <row r="18" spans="1:78" x14ac:dyDescent="0.25">
      <c r="A18" s="429"/>
      <c r="B18" s="429"/>
      <c r="C18" s="430">
        <v>45186</v>
      </c>
      <c r="D18" s="430"/>
      <c r="E18" s="178">
        <v>25338.45</v>
      </c>
      <c r="F18" s="178">
        <v>14270.6</v>
      </c>
      <c r="G18" s="178">
        <v>10705</v>
      </c>
      <c r="H18" s="178">
        <v>5000</v>
      </c>
      <c r="I18" s="428">
        <f t="shared" si="0"/>
        <v>55314.05</v>
      </c>
      <c r="J18" s="429"/>
      <c r="K18" s="430">
        <v>45216</v>
      </c>
      <c r="L18" s="430"/>
      <c r="M18" s="178">
        <v>1704.11</v>
      </c>
      <c r="N18" s="178">
        <v>0</v>
      </c>
      <c r="O18" s="178">
        <v>1710</v>
      </c>
      <c r="P18" s="178">
        <v>1490.4</v>
      </c>
      <c r="Q18" s="428">
        <f t="shared" si="1"/>
        <v>4904.51</v>
      </c>
      <c r="R18" s="429"/>
      <c r="S18" s="429"/>
      <c r="T18" s="430">
        <v>45247</v>
      </c>
      <c r="U18" s="430"/>
      <c r="V18" s="178">
        <v>63541.64</v>
      </c>
      <c r="W18" s="178">
        <v>3470</v>
      </c>
      <c r="X18" s="178">
        <v>6210</v>
      </c>
      <c r="Y18" s="178">
        <v>5290.4</v>
      </c>
      <c r="Z18" s="428">
        <f t="shared" si="2"/>
        <v>78512.039999999994</v>
      </c>
      <c r="AA18" s="429"/>
      <c r="AB18" s="430">
        <v>45277</v>
      </c>
      <c r="AC18" s="430"/>
      <c r="AD18" s="178"/>
      <c r="AE18" s="178">
        <v>2672</v>
      </c>
      <c r="AF18" s="178">
        <v>9925</v>
      </c>
      <c r="AG18" s="178">
        <v>3340.4</v>
      </c>
      <c r="AH18" s="428">
        <f t="shared" si="3"/>
        <v>15937.4</v>
      </c>
      <c r="AI18" s="429"/>
      <c r="AJ18" s="429"/>
      <c r="AK18" s="430">
        <v>45308</v>
      </c>
      <c r="AL18" s="430"/>
      <c r="AM18" s="178">
        <v>52657.94</v>
      </c>
      <c r="AN18" s="178">
        <v>2713</v>
      </c>
      <c r="AO18" s="178">
        <v>29968.25</v>
      </c>
      <c r="AP18" s="178">
        <v>22790.02</v>
      </c>
      <c r="AQ18" s="428">
        <f t="shared" si="4"/>
        <v>108129.21</v>
      </c>
      <c r="AR18" s="429"/>
      <c r="AS18" s="429"/>
      <c r="AT18" s="430">
        <v>45339</v>
      </c>
      <c r="AU18" s="430"/>
      <c r="AV18" s="178"/>
      <c r="AW18" s="178">
        <v>2713</v>
      </c>
      <c r="AX18" s="178"/>
      <c r="AY18" s="178">
        <v>11269.93</v>
      </c>
      <c r="AZ18" s="428">
        <f t="shared" si="5"/>
        <v>13982.93</v>
      </c>
      <c r="BA18" s="429"/>
      <c r="BB18" s="429"/>
      <c r="BC18" s="430">
        <v>45552</v>
      </c>
      <c r="BD18" s="430"/>
      <c r="BE18" s="178"/>
      <c r="BF18" s="178">
        <v>1666</v>
      </c>
      <c r="BG18" s="178">
        <v>10912.54</v>
      </c>
      <c r="BH18" s="178">
        <v>2054.89</v>
      </c>
      <c r="BI18" s="428">
        <f t="shared" si="6"/>
        <v>14633.43</v>
      </c>
      <c r="BJ18" s="429"/>
      <c r="BK18" s="429"/>
      <c r="BL18" s="618" t="s">
        <v>469</v>
      </c>
      <c r="BM18" s="15" t="s">
        <v>462</v>
      </c>
      <c r="BN18" s="15">
        <v>0</v>
      </c>
      <c r="BO18" s="15">
        <v>105</v>
      </c>
      <c r="BP18" s="15">
        <v>33</v>
      </c>
      <c r="BQ18" s="15">
        <v>29</v>
      </c>
      <c r="BR18" s="15">
        <v>27</v>
      </c>
      <c r="BS18" s="15"/>
      <c r="BT18" s="15">
        <v>81</v>
      </c>
      <c r="BU18" s="15">
        <v>102</v>
      </c>
      <c r="BV18" s="619">
        <f t="shared" ref="BV18" si="9">SUM(BN18:BU21)</f>
        <v>1320</v>
      </c>
      <c r="BZ18" s="2"/>
    </row>
    <row r="19" spans="1:78" x14ac:dyDescent="0.25">
      <c r="A19" s="429"/>
      <c r="B19" s="429"/>
      <c r="C19" s="430">
        <v>45187</v>
      </c>
      <c r="D19" s="430"/>
      <c r="E19" s="178">
        <v>25338.45</v>
      </c>
      <c r="F19" s="178">
        <v>14270.6</v>
      </c>
      <c r="G19" s="178">
        <v>10705</v>
      </c>
      <c r="H19" s="178">
        <v>5000</v>
      </c>
      <c r="I19" s="428">
        <f t="shared" si="0"/>
        <v>55314.05</v>
      </c>
      <c r="J19" s="429"/>
      <c r="K19" s="430">
        <v>45217</v>
      </c>
      <c r="L19" s="430"/>
      <c r="M19" s="178">
        <v>29839.11</v>
      </c>
      <c r="N19" s="178">
        <v>0</v>
      </c>
      <c r="O19" s="178">
        <v>1710</v>
      </c>
      <c r="P19" s="178">
        <v>1490.4</v>
      </c>
      <c r="Q19" s="428">
        <f t="shared" si="1"/>
        <v>33039.51</v>
      </c>
      <c r="R19" s="429"/>
      <c r="S19" s="429"/>
      <c r="T19" s="430">
        <v>45248</v>
      </c>
      <c r="U19" s="430"/>
      <c r="V19" s="178">
        <v>63541.64</v>
      </c>
      <c r="W19" s="178">
        <v>3470</v>
      </c>
      <c r="X19" s="178">
        <v>6210</v>
      </c>
      <c r="Y19" s="178">
        <v>5290.4</v>
      </c>
      <c r="Z19" s="428">
        <f t="shared" si="2"/>
        <v>78512.039999999994</v>
      </c>
      <c r="AA19" s="429"/>
      <c r="AB19" s="430">
        <v>45278</v>
      </c>
      <c r="AC19" s="430"/>
      <c r="AD19" s="178"/>
      <c r="AE19" s="178">
        <v>2672</v>
      </c>
      <c r="AF19" s="178">
        <v>9925</v>
      </c>
      <c r="AG19" s="178">
        <v>3340.4</v>
      </c>
      <c r="AH19" s="428">
        <f t="shared" si="3"/>
        <v>15937.4</v>
      </c>
      <c r="AI19" s="429"/>
      <c r="AJ19" s="429"/>
      <c r="AK19" s="430">
        <v>45309</v>
      </c>
      <c r="AL19" s="430"/>
      <c r="AM19" s="178">
        <v>52657.94</v>
      </c>
      <c r="AN19" s="178">
        <v>2713</v>
      </c>
      <c r="AO19" s="178">
        <v>29968.25</v>
      </c>
      <c r="AP19" s="178">
        <v>22790.02</v>
      </c>
      <c r="AQ19" s="428">
        <f t="shared" si="4"/>
        <v>108129.21</v>
      </c>
      <c r="AR19" s="429"/>
      <c r="AS19" s="429"/>
      <c r="AT19" s="430">
        <v>45340</v>
      </c>
      <c r="AU19" s="430"/>
      <c r="AV19" s="178"/>
      <c r="AW19" s="178">
        <v>2713</v>
      </c>
      <c r="AX19" s="178"/>
      <c r="AY19" s="178">
        <v>11269.93</v>
      </c>
      <c r="AZ19" s="428">
        <f t="shared" si="5"/>
        <v>13982.93</v>
      </c>
      <c r="BA19" s="429"/>
      <c r="BB19" s="429"/>
      <c r="BC19" s="430">
        <v>45553</v>
      </c>
      <c r="BD19" s="430"/>
      <c r="BE19" s="178"/>
      <c r="BF19" s="178">
        <v>1556</v>
      </c>
      <c r="BG19" s="178">
        <v>10912.54</v>
      </c>
      <c r="BH19" s="178">
        <v>2054.89</v>
      </c>
      <c r="BI19" s="428">
        <f t="shared" si="6"/>
        <v>14523.43</v>
      </c>
      <c r="BJ19" s="429"/>
      <c r="BK19" s="429"/>
      <c r="BL19" s="618"/>
      <c r="BM19" s="15" t="s">
        <v>463</v>
      </c>
      <c r="BN19" s="15">
        <v>0</v>
      </c>
      <c r="BO19" s="15">
        <v>39</v>
      </c>
      <c r="BP19" s="15">
        <v>96</v>
      </c>
      <c r="BQ19" s="15">
        <v>35</v>
      </c>
      <c r="BR19" s="15">
        <v>29</v>
      </c>
      <c r="BS19" s="15"/>
      <c r="BT19" s="15">
        <v>89</v>
      </c>
      <c r="BU19" s="15">
        <v>37</v>
      </c>
      <c r="BV19" s="619"/>
      <c r="BZ19" s="2"/>
    </row>
    <row r="20" spans="1:78" x14ac:dyDescent="0.25">
      <c r="A20" s="429"/>
      <c r="B20" s="429"/>
      <c r="C20" s="430">
        <v>45188</v>
      </c>
      <c r="D20" s="430"/>
      <c r="E20" s="178">
        <v>25338.45</v>
      </c>
      <c r="F20" s="178">
        <v>14270.6</v>
      </c>
      <c r="G20" s="178">
        <v>10705</v>
      </c>
      <c r="H20" s="178">
        <v>5000</v>
      </c>
      <c r="I20" s="428">
        <f t="shared" si="0"/>
        <v>55314.05</v>
      </c>
      <c r="J20" s="429"/>
      <c r="K20" s="430">
        <v>45218</v>
      </c>
      <c r="L20" s="430"/>
      <c r="M20" s="178">
        <v>8496.11</v>
      </c>
      <c r="N20" s="178">
        <v>0</v>
      </c>
      <c r="O20" s="178">
        <v>1710</v>
      </c>
      <c r="P20" s="178">
        <v>1490.4</v>
      </c>
      <c r="Q20" s="428">
        <f t="shared" si="1"/>
        <v>11696.51</v>
      </c>
      <c r="R20" s="429"/>
      <c r="S20" s="429"/>
      <c r="T20" s="430">
        <v>45249</v>
      </c>
      <c r="U20" s="430"/>
      <c r="V20" s="178">
        <v>63541.64</v>
      </c>
      <c r="W20" s="178">
        <v>3460</v>
      </c>
      <c r="X20" s="178">
        <v>6210</v>
      </c>
      <c r="Y20" s="178">
        <v>5290.4</v>
      </c>
      <c r="Z20" s="428">
        <f t="shared" si="2"/>
        <v>78502.039999999994</v>
      </c>
      <c r="AA20" s="429"/>
      <c r="AB20" s="430">
        <v>45279</v>
      </c>
      <c r="AC20" s="430"/>
      <c r="AD20" s="178"/>
      <c r="AE20" s="178">
        <v>2672</v>
      </c>
      <c r="AF20" s="178">
        <v>9925</v>
      </c>
      <c r="AG20" s="178">
        <v>3340.4</v>
      </c>
      <c r="AH20" s="428">
        <f t="shared" si="3"/>
        <v>15937.4</v>
      </c>
      <c r="AI20" s="429"/>
      <c r="AJ20" s="429"/>
      <c r="AK20" s="430">
        <v>45310</v>
      </c>
      <c r="AL20" s="430"/>
      <c r="AM20" s="178">
        <v>59557.78</v>
      </c>
      <c r="AN20" s="178">
        <v>2713</v>
      </c>
      <c r="AO20" s="178">
        <v>29968.25</v>
      </c>
      <c r="AP20" s="178">
        <v>22790.02</v>
      </c>
      <c r="AQ20" s="428">
        <f t="shared" si="4"/>
        <v>115029.05</v>
      </c>
      <c r="AR20" s="429"/>
      <c r="AS20" s="429"/>
      <c r="AT20" s="430">
        <v>45341</v>
      </c>
      <c r="AU20" s="430"/>
      <c r="AV20" s="178"/>
      <c r="AW20" s="178">
        <v>2713</v>
      </c>
      <c r="AX20" s="178"/>
      <c r="AY20" s="178">
        <v>11269.93</v>
      </c>
      <c r="AZ20" s="428">
        <f t="shared" si="5"/>
        <v>13982.93</v>
      </c>
      <c r="BA20" s="429"/>
      <c r="BB20" s="429"/>
      <c r="BC20" s="430">
        <v>45554</v>
      </c>
      <c r="BD20" s="430"/>
      <c r="BE20" s="178"/>
      <c r="BF20" s="178">
        <v>1556</v>
      </c>
      <c r="BG20" s="178">
        <v>10912.54</v>
      </c>
      <c r="BH20" s="178">
        <v>2054.89</v>
      </c>
      <c r="BI20" s="428">
        <f t="shared" si="6"/>
        <v>14523.43</v>
      </c>
      <c r="BJ20" s="429"/>
      <c r="BK20" s="429"/>
      <c r="BL20" s="618"/>
      <c r="BM20" s="15" t="s">
        <v>464</v>
      </c>
      <c r="BN20" s="15">
        <v>0</v>
      </c>
      <c r="BO20" s="15">
        <v>45</v>
      </c>
      <c r="BP20" s="15">
        <v>40</v>
      </c>
      <c r="BQ20" s="15">
        <v>43</v>
      </c>
      <c r="BR20" s="15">
        <v>62</v>
      </c>
      <c r="BS20" s="15">
        <v>92</v>
      </c>
      <c r="BT20" s="15">
        <v>62</v>
      </c>
      <c r="BU20" s="15">
        <v>54</v>
      </c>
      <c r="BV20" s="619"/>
      <c r="BZ20" s="3"/>
    </row>
    <row r="21" spans="1:78" x14ac:dyDescent="0.25">
      <c r="A21" s="429"/>
      <c r="B21" s="429"/>
      <c r="C21" s="430">
        <v>45189</v>
      </c>
      <c r="D21" s="430"/>
      <c r="E21" s="178">
        <v>25338.45</v>
      </c>
      <c r="F21" s="178">
        <v>14270.6</v>
      </c>
      <c r="G21" s="178">
        <v>10705</v>
      </c>
      <c r="H21" s="178">
        <v>5000</v>
      </c>
      <c r="I21" s="428">
        <f t="shared" si="0"/>
        <v>55314.05</v>
      </c>
      <c r="J21" s="429"/>
      <c r="K21" s="430">
        <v>45219</v>
      </c>
      <c r="L21" s="430"/>
      <c r="M21" s="178">
        <v>8496.11</v>
      </c>
      <c r="N21" s="178">
        <v>0</v>
      </c>
      <c r="O21" s="178">
        <v>1710</v>
      </c>
      <c r="P21" s="178">
        <v>1490.4</v>
      </c>
      <c r="Q21" s="428">
        <f t="shared" si="1"/>
        <v>11696.51</v>
      </c>
      <c r="R21" s="429"/>
      <c r="S21" s="429"/>
      <c r="T21" s="430">
        <v>45250</v>
      </c>
      <c r="U21" s="430"/>
      <c r="V21" s="178">
        <v>53541.64</v>
      </c>
      <c r="W21" s="178">
        <v>3460</v>
      </c>
      <c r="X21" s="178">
        <v>6210</v>
      </c>
      <c r="Y21" s="178">
        <v>5290.4</v>
      </c>
      <c r="Z21" s="428">
        <f t="shared" si="2"/>
        <v>68502.039999999994</v>
      </c>
      <c r="AA21" s="429"/>
      <c r="AB21" s="430">
        <v>45280</v>
      </c>
      <c r="AC21" s="430"/>
      <c r="AD21" s="178">
        <v>35108.75</v>
      </c>
      <c r="AE21" s="178">
        <v>2672</v>
      </c>
      <c r="AF21" s="178">
        <v>9925</v>
      </c>
      <c r="AG21" s="178">
        <v>3340.4</v>
      </c>
      <c r="AH21" s="428">
        <f t="shared" si="3"/>
        <v>51046.15</v>
      </c>
      <c r="AI21" s="429"/>
      <c r="AJ21" s="429"/>
      <c r="AK21" s="430">
        <v>45311</v>
      </c>
      <c r="AL21" s="430"/>
      <c r="AM21" s="178">
        <v>59557.78</v>
      </c>
      <c r="AN21" s="178">
        <v>2713</v>
      </c>
      <c r="AO21" s="178">
        <v>29968.25</v>
      </c>
      <c r="AP21" s="178">
        <v>22790.02</v>
      </c>
      <c r="AQ21" s="428">
        <f t="shared" si="4"/>
        <v>115029.05</v>
      </c>
      <c r="AR21" s="429"/>
      <c r="AS21" s="429"/>
      <c r="AT21" s="430">
        <v>45342</v>
      </c>
      <c r="AU21" s="430"/>
      <c r="AV21" s="178">
        <v>25466.54</v>
      </c>
      <c r="AW21" s="178">
        <v>2713</v>
      </c>
      <c r="AX21" s="178"/>
      <c r="AY21" s="178">
        <v>11269.93</v>
      </c>
      <c r="AZ21" s="428">
        <f t="shared" si="5"/>
        <v>39449.47</v>
      </c>
      <c r="BA21" s="429"/>
      <c r="BB21" s="429"/>
      <c r="BC21" s="430">
        <v>45555</v>
      </c>
      <c r="BD21" s="430"/>
      <c r="BE21" s="178"/>
      <c r="BF21" s="178">
        <v>1556</v>
      </c>
      <c r="BG21" s="178">
        <v>10912.54</v>
      </c>
      <c r="BH21" s="178">
        <v>2054.89</v>
      </c>
      <c r="BI21" s="428">
        <f t="shared" si="6"/>
        <v>14523.43</v>
      </c>
      <c r="BJ21" s="429"/>
      <c r="BK21" s="429"/>
      <c r="BL21" s="618"/>
      <c r="BM21" s="15" t="s">
        <v>465</v>
      </c>
      <c r="BN21" s="15">
        <v>12</v>
      </c>
      <c r="BO21" s="15">
        <v>42</v>
      </c>
      <c r="BP21" s="15">
        <v>47</v>
      </c>
      <c r="BQ21" s="15">
        <v>38</v>
      </c>
      <c r="BR21" s="15"/>
      <c r="BS21" s="15">
        <v>81</v>
      </c>
      <c r="BT21" s="15"/>
      <c r="BU21" s="15"/>
      <c r="BV21" s="619"/>
      <c r="BZ21" s="3"/>
    </row>
    <row r="22" spans="1:78" x14ac:dyDescent="0.25">
      <c r="A22" s="429"/>
      <c r="B22" s="429"/>
      <c r="C22" s="430">
        <v>45190</v>
      </c>
      <c r="D22" s="430"/>
      <c r="E22" s="178">
        <v>4572.59</v>
      </c>
      <c r="F22" s="178">
        <v>14270.6</v>
      </c>
      <c r="G22" s="178">
        <v>4705</v>
      </c>
      <c r="H22" s="178">
        <v>5000</v>
      </c>
      <c r="I22" s="428">
        <f t="shared" si="0"/>
        <v>28548.190000000002</v>
      </c>
      <c r="J22" s="429"/>
      <c r="K22" s="430">
        <v>45220</v>
      </c>
      <c r="L22" s="430"/>
      <c r="M22" s="178">
        <v>8496.11</v>
      </c>
      <c r="N22" s="178">
        <v>0</v>
      </c>
      <c r="O22" s="178">
        <v>1710</v>
      </c>
      <c r="P22" s="178">
        <v>1490.4</v>
      </c>
      <c r="Q22" s="428">
        <f t="shared" si="1"/>
        <v>11696.51</v>
      </c>
      <c r="R22" s="429"/>
      <c r="S22" s="429"/>
      <c r="T22" s="430">
        <v>45251</v>
      </c>
      <c r="U22" s="430"/>
      <c r="V22" s="178">
        <v>53541.64</v>
      </c>
      <c r="W22" s="178">
        <v>3435</v>
      </c>
      <c r="X22" s="178">
        <v>6210</v>
      </c>
      <c r="Y22" s="178">
        <v>5290.4</v>
      </c>
      <c r="Z22" s="428">
        <f t="shared" si="2"/>
        <v>68477.039999999994</v>
      </c>
      <c r="AA22" s="429"/>
      <c r="AB22" s="430">
        <v>45281</v>
      </c>
      <c r="AC22" s="430"/>
      <c r="AD22" s="178">
        <v>35108.75</v>
      </c>
      <c r="AE22" s="178">
        <v>2672</v>
      </c>
      <c r="AF22" s="178">
        <v>9925</v>
      </c>
      <c r="AG22" s="178">
        <v>3340.4</v>
      </c>
      <c r="AH22" s="428">
        <f t="shared" si="3"/>
        <v>51046.15</v>
      </c>
      <c r="AI22" s="429"/>
      <c r="AJ22" s="429"/>
      <c r="AK22" s="430">
        <v>45312</v>
      </c>
      <c r="AL22" s="430"/>
      <c r="AM22" s="178">
        <v>59557.78</v>
      </c>
      <c r="AN22" s="178">
        <v>2713</v>
      </c>
      <c r="AO22" s="178">
        <v>29968.25</v>
      </c>
      <c r="AP22" s="178">
        <v>22790.02</v>
      </c>
      <c r="AQ22" s="428">
        <f t="shared" si="4"/>
        <v>115029.05</v>
      </c>
      <c r="AR22" s="429"/>
      <c r="AS22" s="429"/>
      <c r="AT22" s="430">
        <v>45343</v>
      </c>
      <c r="AU22" s="430"/>
      <c r="AV22" s="178"/>
      <c r="AW22" s="178">
        <v>2713</v>
      </c>
      <c r="AX22" s="178"/>
      <c r="AY22" s="178">
        <v>11269.93</v>
      </c>
      <c r="AZ22" s="428">
        <f t="shared" si="5"/>
        <v>13982.93</v>
      </c>
      <c r="BA22" s="429"/>
      <c r="BB22" s="429"/>
      <c r="BC22" s="430">
        <v>45556</v>
      </c>
      <c r="BD22" s="430"/>
      <c r="BE22" s="178"/>
      <c r="BF22" s="178">
        <v>1556</v>
      </c>
      <c r="BG22" s="178">
        <v>10912.54</v>
      </c>
      <c r="BH22" s="178">
        <v>2054.89</v>
      </c>
      <c r="BI22" s="428">
        <f t="shared" si="6"/>
        <v>14523.43</v>
      </c>
      <c r="BJ22" s="429"/>
      <c r="BK22" s="429"/>
      <c r="BL22" s="620" t="s">
        <v>470</v>
      </c>
      <c r="BM22" s="15" t="s">
        <v>462</v>
      </c>
      <c r="BN22" s="15">
        <v>144</v>
      </c>
      <c r="BO22" s="15">
        <v>825</v>
      </c>
      <c r="BP22" s="15">
        <v>145</v>
      </c>
      <c r="BQ22" s="15">
        <v>444</v>
      </c>
      <c r="BR22" s="15">
        <v>2766</v>
      </c>
      <c r="BS22" s="15"/>
      <c r="BT22" s="15"/>
      <c r="BU22" s="15"/>
      <c r="BV22" s="619">
        <f t="shared" ref="BV22" si="10">SUM(BN22:BU25)</f>
        <v>17003</v>
      </c>
      <c r="BZ22" s="3"/>
    </row>
    <row r="23" spans="1:78" x14ac:dyDescent="0.25">
      <c r="A23" s="429"/>
      <c r="B23" s="429"/>
      <c r="C23" s="430">
        <v>45191</v>
      </c>
      <c r="D23" s="430"/>
      <c r="E23" s="178">
        <v>4572.59</v>
      </c>
      <c r="F23" s="178">
        <v>14270.6</v>
      </c>
      <c r="G23" s="178">
        <v>4705</v>
      </c>
      <c r="H23" s="178">
        <v>5000</v>
      </c>
      <c r="I23" s="428">
        <f t="shared" si="0"/>
        <v>28548.190000000002</v>
      </c>
      <c r="J23" s="429"/>
      <c r="K23" s="430">
        <v>45221</v>
      </c>
      <c r="L23" s="430"/>
      <c r="M23" s="178">
        <v>8496.11</v>
      </c>
      <c r="N23" s="178">
        <v>0</v>
      </c>
      <c r="O23" s="178">
        <v>1710</v>
      </c>
      <c r="P23" s="178">
        <v>1490.4</v>
      </c>
      <c r="Q23" s="428">
        <f t="shared" si="1"/>
        <v>11696.51</v>
      </c>
      <c r="R23" s="429"/>
      <c r="S23" s="429"/>
      <c r="T23" s="430">
        <v>45252</v>
      </c>
      <c r="U23" s="430"/>
      <c r="V23" s="178">
        <v>62541.64</v>
      </c>
      <c r="W23" s="178">
        <v>3435</v>
      </c>
      <c r="X23" s="178">
        <v>6210</v>
      </c>
      <c r="Y23" s="178">
        <v>5290.4</v>
      </c>
      <c r="Z23" s="428">
        <f t="shared" si="2"/>
        <v>77477.039999999994</v>
      </c>
      <c r="AA23" s="429"/>
      <c r="AB23" s="430">
        <v>45282</v>
      </c>
      <c r="AC23" s="430"/>
      <c r="AD23" s="178"/>
      <c r="AE23" s="178">
        <v>2672</v>
      </c>
      <c r="AF23" s="178">
        <v>9925</v>
      </c>
      <c r="AG23" s="178">
        <v>3340.4</v>
      </c>
      <c r="AH23" s="428">
        <f t="shared" si="3"/>
        <v>15937.4</v>
      </c>
      <c r="AI23" s="429"/>
      <c r="AJ23" s="429"/>
      <c r="AK23" s="430">
        <v>45313</v>
      </c>
      <c r="AL23" s="430"/>
      <c r="AM23" s="178">
        <v>59557.78</v>
      </c>
      <c r="AN23" s="178">
        <v>2713</v>
      </c>
      <c r="AO23" s="178">
        <v>29968.25</v>
      </c>
      <c r="AP23" s="178">
        <v>22790.02</v>
      </c>
      <c r="AQ23" s="428">
        <f t="shared" si="4"/>
        <v>115029.05</v>
      </c>
      <c r="AR23" s="429"/>
      <c r="AS23" s="429"/>
      <c r="AT23" s="430">
        <v>45344</v>
      </c>
      <c r="AU23" s="430"/>
      <c r="AV23" s="178"/>
      <c r="AW23" s="178">
        <v>2713</v>
      </c>
      <c r="AX23" s="178"/>
      <c r="AY23" s="178">
        <v>11269.93</v>
      </c>
      <c r="AZ23" s="428">
        <f t="shared" si="5"/>
        <v>13982.93</v>
      </c>
      <c r="BA23" s="429"/>
      <c r="BB23" s="429"/>
      <c r="BC23" s="430">
        <v>45557</v>
      </c>
      <c r="BD23" s="430"/>
      <c r="BE23" s="178"/>
      <c r="BF23" s="178">
        <v>1556</v>
      </c>
      <c r="BG23" s="178">
        <v>20912.54</v>
      </c>
      <c r="BH23" s="178">
        <v>12048.1</v>
      </c>
      <c r="BI23" s="428">
        <f t="shared" si="6"/>
        <v>34516.639999999999</v>
      </c>
      <c r="BJ23" s="429"/>
      <c r="BK23" s="429"/>
      <c r="BL23" s="618"/>
      <c r="BM23" s="15" t="s">
        <v>463</v>
      </c>
      <c r="BN23" s="15">
        <v>329</v>
      </c>
      <c r="BO23" s="15">
        <v>452</v>
      </c>
      <c r="BP23" s="15">
        <v>330</v>
      </c>
      <c r="BQ23" s="15">
        <v>2371</v>
      </c>
      <c r="BR23" s="15"/>
      <c r="BS23" s="15"/>
      <c r="BT23" s="15"/>
      <c r="BU23" s="15"/>
      <c r="BV23" s="619"/>
      <c r="BZ23" s="3"/>
    </row>
    <row r="24" spans="1:78" x14ac:dyDescent="0.25">
      <c r="A24" s="429"/>
      <c r="B24" s="429"/>
      <c r="C24" s="430">
        <v>45192</v>
      </c>
      <c r="D24" s="430"/>
      <c r="E24" s="178">
        <v>4572.59</v>
      </c>
      <c r="F24" s="178">
        <v>9429.6</v>
      </c>
      <c r="G24" s="178">
        <v>4705</v>
      </c>
      <c r="H24" s="178">
        <v>5000</v>
      </c>
      <c r="I24" s="428">
        <f t="shared" si="0"/>
        <v>23707.190000000002</v>
      </c>
      <c r="J24" s="429"/>
      <c r="K24" s="430">
        <v>45222</v>
      </c>
      <c r="L24" s="430"/>
      <c r="M24" s="178">
        <v>8496.11</v>
      </c>
      <c r="N24" s="178">
        <v>0</v>
      </c>
      <c r="O24" s="178">
        <v>1710</v>
      </c>
      <c r="P24" s="178">
        <v>1490.4</v>
      </c>
      <c r="Q24" s="428">
        <f t="shared" si="1"/>
        <v>11696.51</v>
      </c>
      <c r="R24" s="429"/>
      <c r="S24" s="429"/>
      <c r="T24" s="430">
        <v>45253</v>
      </c>
      <c r="U24" s="430"/>
      <c r="V24" s="178">
        <v>53542.64</v>
      </c>
      <c r="W24" s="178">
        <v>3435</v>
      </c>
      <c r="X24" s="178">
        <v>6210</v>
      </c>
      <c r="Y24" s="178">
        <v>5290.4</v>
      </c>
      <c r="Z24" s="428">
        <f t="shared" si="2"/>
        <v>68478.039999999994</v>
      </c>
      <c r="AA24" s="429"/>
      <c r="AB24" s="430">
        <v>45283</v>
      </c>
      <c r="AC24" s="430"/>
      <c r="AD24" s="178"/>
      <c r="AE24" s="178">
        <v>2713</v>
      </c>
      <c r="AF24" s="178">
        <v>9925</v>
      </c>
      <c r="AG24" s="178">
        <v>3340.4</v>
      </c>
      <c r="AH24" s="428">
        <f t="shared" si="3"/>
        <v>15978.4</v>
      </c>
      <c r="AI24" s="429"/>
      <c r="AJ24" s="429"/>
      <c r="AK24" s="430">
        <v>45314</v>
      </c>
      <c r="AL24" s="430"/>
      <c r="AM24" s="178">
        <v>59557.78</v>
      </c>
      <c r="AN24" s="178">
        <v>2713</v>
      </c>
      <c r="AO24" s="178">
        <v>29968.25</v>
      </c>
      <c r="AP24" s="178">
        <v>22790.02</v>
      </c>
      <c r="AQ24" s="428">
        <f t="shared" si="4"/>
        <v>115029.05</v>
      </c>
      <c r="AR24" s="429"/>
      <c r="AS24" s="429"/>
      <c r="AT24" s="430">
        <v>45345</v>
      </c>
      <c r="AU24" s="430"/>
      <c r="AV24" s="178"/>
      <c r="AW24" s="178">
        <v>2713</v>
      </c>
      <c r="AX24" s="178"/>
      <c r="AY24" s="178">
        <v>11269.93</v>
      </c>
      <c r="AZ24" s="428">
        <f t="shared" si="5"/>
        <v>13982.93</v>
      </c>
      <c r="BA24" s="429"/>
      <c r="BB24" s="429"/>
      <c r="BC24" s="430">
        <v>45558</v>
      </c>
      <c r="BD24" s="430"/>
      <c r="BE24" s="178"/>
      <c r="BF24" s="178">
        <v>1556</v>
      </c>
      <c r="BG24" s="178">
        <v>20412.54</v>
      </c>
      <c r="BH24" s="178">
        <v>12048.1</v>
      </c>
      <c r="BI24" s="428">
        <f t="shared" si="6"/>
        <v>34016.639999999999</v>
      </c>
      <c r="BJ24" s="429"/>
      <c r="BK24" s="429"/>
      <c r="BL24" s="618"/>
      <c r="BM24" s="15" t="s">
        <v>464</v>
      </c>
      <c r="BN24" s="15">
        <v>534</v>
      </c>
      <c r="BO24" s="15">
        <v>612</v>
      </c>
      <c r="BP24" s="15">
        <v>351</v>
      </c>
      <c r="BQ24" s="15">
        <v>2858</v>
      </c>
      <c r="BR24" s="15"/>
      <c r="BS24" s="15"/>
      <c r="BT24" s="15"/>
      <c r="BU24" s="15"/>
      <c r="BV24" s="619"/>
      <c r="BZ24" s="3"/>
    </row>
    <row r="25" spans="1:78" x14ac:dyDescent="0.25">
      <c r="A25" s="429"/>
      <c r="B25" s="429"/>
      <c r="C25" s="430">
        <v>45193</v>
      </c>
      <c r="D25" s="430"/>
      <c r="E25" s="178">
        <v>4572.59</v>
      </c>
      <c r="F25" s="178">
        <v>9429.6</v>
      </c>
      <c r="G25" s="178">
        <v>4705</v>
      </c>
      <c r="H25" s="178">
        <v>5000</v>
      </c>
      <c r="I25" s="428">
        <f t="shared" si="0"/>
        <v>23707.190000000002</v>
      </c>
      <c r="J25" s="429"/>
      <c r="K25" s="430">
        <v>45223</v>
      </c>
      <c r="L25" s="430"/>
      <c r="M25" s="178">
        <v>8496.11</v>
      </c>
      <c r="N25" s="178">
        <v>0</v>
      </c>
      <c r="O25" s="178">
        <v>1710</v>
      </c>
      <c r="P25" s="178">
        <v>1490.4</v>
      </c>
      <c r="Q25" s="428">
        <f t="shared" si="1"/>
        <v>11696.51</v>
      </c>
      <c r="R25" s="429"/>
      <c r="S25" s="429"/>
      <c r="T25" s="430">
        <v>45254</v>
      </c>
      <c r="U25" s="430"/>
      <c r="V25" s="178">
        <v>53542.64</v>
      </c>
      <c r="W25" s="178">
        <v>3235</v>
      </c>
      <c r="X25" s="178">
        <v>6210</v>
      </c>
      <c r="Y25" s="178">
        <v>5290.4</v>
      </c>
      <c r="Z25" s="428">
        <f t="shared" si="2"/>
        <v>68278.039999999994</v>
      </c>
      <c r="AA25" s="429"/>
      <c r="AB25" s="430">
        <v>45284</v>
      </c>
      <c r="AC25" s="430"/>
      <c r="AD25" s="178"/>
      <c r="AE25" s="178">
        <v>2713</v>
      </c>
      <c r="AF25" s="178">
        <v>9925</v>
      </c>
      <c r="AG25" s="178">
        <v>3340.4</v>
      </c>
      <c r="AH25" s="428">
        <f t="shared" si="3"/>
        <v>15978.4</v>
      </c>
      <c r="AI25" s="429"/>
      <c r="AJ25" s="429"/>
      <c r="AK25" s="430">
        <v>45315</v>
      </c>
      <c r="AL25" s="430"/>
      <c r="AM25" s="178">
        <v>59557.78</v>
      </c>
      <c r="AN25" s="178">
        <v>2713</v>
      </c>
      <c r="AO25" s="178">
        <v>29968.25</v>
      </c>
      <c r="AP25" s="178">
        <v>22790.02</v>
      </c>
      <c r="AQ25" s="428">
        <f t="shared" si="4"/>
        <v>115029.05</v>
      </c>
      <c r="AR25" s="429"/>
      <c r="AS25" s="429"/>
      <c r="AT25" s="430">
        <v>45346</v>
      </c>
      <c r="AU25" s="430"/>
      <c r="AV25" s="178"/>
      <c r="AW25" s="178">
        <v>2713</v>
      </c>
      <c r="AX25" s="178"/>
      <c r="AY25" s="178">
        <v>11269.93</v>
      </c>
      <c r="AZ25" s="428">
        <f t="shared" si="5"/>
        <v>13982.93</v>
      </c>
      <c r="BA25" s="429"/>
      <c r="BB25" s="429"/>
      <c r="BC25" s="430">
        <v>45559</v>
      </c>
      <c r="BD25" s="430"/>
      <c r="BE25" s="178"/>
      <c r="BF25" s="178">
        <v>1556</v>
      </c>
      <c r="BG25" s="178">
        <v>20412.54</v>
      </c>
      <c r="BH25" s="178">
        <v>12048.1</v>
      </c>
      <c r="BI25" s="428">
        <f t="shared" si="6"/>
        <v>34016.639999999999</v>
      </c>
      <c r="BJ25" s="429"/>
      <c r="BK25" s="429"/>
      <c r="BL25" s="618"/>
      <c r="BM25" s="15" t="s">
        <v>465</v>
      </c>
      <c r="BN25" s="15">
        <v>612</v>
      </c>
      <c r="BO25" s="15">
        <v>333</v>
      </c>
      <c r="BP25" s="15">
        <v>1435</v>
      </c>
      <c r="BQ25" s="15">
        <v>2462</v>
      </c>
      <c r="BR25" s="15"/>
      <c r="BS25" s="15"/>
      <c r="BT25" s="15"/>
      <c r="BU25" s="15"/>
      <c r="BV25" s="619"/>
      <c r="BZ25" s="3"/>
    </row>
    <row r="26" spans="1:78" x14ac:dyDescent="0.25">
      <c r="A26" s="429"/>
      <c r="B26" s="429"/>
      <c r="C26" s="430">
        <v>45194</v>
      </c>
      <c r="D26" s="430"/>
      <c r="E26" s="178">
        <v>4572.59</v>
      </c>
      <c r="F26" s="178">
        <v>9429.6</v>
      </c>
      <c r="G26" s="178">
        <v>4705</v>
      </c>
      <c r="H26" s="178">
        <v>5000</v>
      </c>
      <c r="I26" s="428">
        <f t="shared" si="0"/>
        <v>23707.190000000002</v>
      </c>
      <c r="J26" s="429"/>
      <c r="K26" s="430">
        <v>45224</v>
      </c>
      <c r="L26" s="430"/>
      <c r="M26" s="178">
        <v>8496.11</v>
      </c>
      <c r="N26" s="178">
        <v>0</v>
      </c>
      <c r="O26" s="178">
        <v>1710</v>
      </c>
      <c r="P26" s="178">
        <v>1490.4</v>
      </c>
      <c r="Q26" s="428">
        <f t="shared" si="1"/>
        <v>11696.51</v>
      </c>
      <c r="R26" s="429"/>
      <c r="S26" s="429"/>
      <c r="T26" s="430">
        <v>45255</v>
      </c>
      <c r="U26" s="430"/>
      <c r="V26" s="178">
        <v>53542.64</v>
      </c>
      <c r="W26" s="178">
        <v>3085</v>
      </c>
      <c r="X26" s="178">
        <v>6210</v>
      </c>
      <c r="Y26" s="178">
        <v>5290.4</v>
      </c>
      <c r="Z26" s="428">
        <f t="shared" si="2"/>
        <v>68128.039999999994</v>
      </c>
      <c r="AA26" s="429"/>
      <c r="AB26" s="430">
        <v>45285</v>
      </c>
      <c r="AC26" s="430"/>
      <c r="AD26" s="178"/>
      <c r="AE26" s="178">
        <v>2713</v>
      </c>
      <c r="AF26" s="178">
        <v>9968.25</v>
      </c>
      <c r="AG26" s="178">
        <v>3340.4</v>
      </c>
      <c r="AH26" s="428">
        <f t="shared" si="3"/>
        <v>16021.65</v>
      </c>
      <c r="AI26" s="429"/>
      <c r="AJ26" s="429"/>
      <c r="AK26" s="430">
        <v>45316</v>
      </c>
      <c r="AL26" s="430"/>
      <c r="AM26" s="178">
        <v>59557.78</v>
      </c>
      <c r="AN26" s="178">
        <v>2713</v>
      </c>
      <c r="AO26" s="178">
        <v>29968.25</v>
      </c>
      <c r="AP26" s="178">
        <v>22790.02</v>
      </c>
      <c r="AQ26" s="428">
        <f t="shared" si="4"/>
        <v>115029.05</v>
      </c>
      <c r="AR26" s="429"/>
      <c r="AS26" s="429"/>
      <c r="AT26" s="430">
        <v>45347</v>
      </c>
      <c r="AU26" s="430"/>
      <c r="AV26" s="178"/>
      <c r="AW26" s="178">
        <v>2713</v>
      </c>
      <c r="AX26" s="178"/>
      <c r="AY26" s="178">
        <v>11269.93</v>
      </c>
      <c r="AZ26" s="428">
        <f t="shared" si="5"/>
        <v>13982.93</v>
      </c>
      <c r="BA26" s="429"/>
      <c r="BB26" s="429"/>
      <c r="BC26" s="430">
        <v>45560</v>
      </c>
      <c r="BD26" s="430"/>
      <c r="BE26" s="178"/>
      <c r="BF26" s="178">
        <v>1556</v>
      </c>
      <c r="BG26" s="178">
        <v>20412.54</v>
      </c>
      <c r="BH26" s="178">
        <v>12048.1</v>
      </c>
      <c r="BI26" s="428">
        <f t="shared" si="6"/>
        <v>34016.639999999999</v>
      </c>
      <c r="BJ26" s="429"/>
      <c r="BK26" s="429"/>
      <c r="BL26" s="618" t="s">
        <v>248</v>
      </c>
      <c r="BM26" s="15" t="s">
        <v>462</v>
      </c>
      <c r="BN26" s="15">
        <v>250</v>
      </c>
      <c r="BO26" s="15">
        <v>460</v>
      </c>
      <c r="BP26" s="15">
        <v>290</v>
      </c>
      <c r="BQ26" s="15">
        <v>118</v>
      </c>
      <c r="BR26" s="15">
        <v>61</v>
      </c>
      <c r="BS26" s="15">
        <v>466</v>
      </c>
      <c r="BT26" s="15">
        <v>724</v>
      </c>
      <c r="BU26" s="15">
        <v>558</v>
      </c>
      <c r="BV26" s="619">
        <f t="shared" ref="BV26" si="11">SUM(BN26:BU29)</f>
        <v>11521</v>
      </c>
      <c r="BW26" s="429"/>
      <c r="BX26" s="3"/>
      <c r="BZ26" s="3"/>
    </row>
    <row r="27" spans="1:78" ht="15" customHeight="1" x14ac:dyDescent="0.25">
      <c r="A27" s="429"/>
      <c r="B27" s="429"/>
      <c r="C27" s="430">
        <v>45195</v>
      </c>
      <c r="D27" s="430"/>
      <c r="E27" s="178">
        <v>4572.59</v>
      </c>
      <c r="F27" s="178">
        <v>9429.6</v>
      </c>
      <c r="G27" s="178">
        <v>4705</v>
      </c>
      <c r="H27" s="178">
        <v>5000</v>
      </c>
      <c r="I27" s="428">
        <f t="shared" si="0"/>
        <v>23707.190000000002</v>
      </c>
      <c r="J27" s="429"/>
      <c r="K27" s="430">
        <v>45225</v>
      </c>
      <c r="L27" s="430"/>
      <c r="M27" s="178">
        <v>5309.11</v>
      </c>
      <c r="N27" s="178">
        <v>0</v>
      </c>
      <c r="O27" s="178">
        <v>1710</v>
      </c>
      <c r="P27" s="178">
        <v>1490.4</v>
      </c>
      <c r="Q27" s="428">
        <f t="shared" si="1"/>
        <v>8509.51</v>
      </c>
      <c r="R27" s="429"/>
      <c r="S27" s="429"/>
      <c r="T27" s="430">
        <v>45256</v>
      </c>
      <c r="U27" s="430"/>
      <c r="V27" s="178">
        <v>5398.21</v>
      </c>
      <c r="W27" s="178">
        <v>13015</v>
      </c>
      <c r="X27" s="178">
        <v>6210</v>
      </c>
      <c r="Y27" s="178">
        <v>5290.4</v>
      </c>
      <c r="Z27" s="428">
        <f t="shared" si="2"/>
        <v>29913.61</v>
      </c>
      <c r="AA27" s="429"/>
      <c r="AB27" s="430">
        <v>45286</v>
      </c>
      <c r="AC27" s="430"/>
      <c r="AD27" s="178">
        <v>10158.290000000001</v>
      </c>
      <c r="AE27" s="178">
        <v>2713</v>
      </c>
      <c r="AF27" s="178">
        <v>9968.25</v>
      </c>
      <c r="AG27" s="178">
        <v>3340.4</v>
      </c>
      <c r="AH27" s="428">
        <f t="shared" si="3"/>
        <v>26179.940000000002</v>
      </c>
      <c r="AI27" s="429"/>
      <c r="AJ27" s="429"/>
      <c r="AK27" s="430">
        <v>45317</v>
      </c>
      <c r="AL27" s="430"/>
      <c r="AM27" s="178">
        <v>59557.78</v>
      </c>
      <c r="AN27" s="178">
        <v>2713</v>
      </c>
      <c r="AO27" s="178">
        <v>29968.25</v>
      </c>
      <c r="AP27" s="178">
        <v>22790.02</v>
      </c>
      <c r="AQ27" s="428">
        <f t="shared" si="4"/>
        <v>115029.05</v>
      </c>
      <c r="AR27" s="429"/>
      <c r="AS27" s="429"/>
      <c r="AT27" s="430">
        <v>45348</v>
      </c>
      <c r="AU27" s="430"/>
      <c r="AV27" s="178">
        <v>12890.22</v>
      </c>
      <c r="AW27" s="178">
        <v>2713</v>
      </c>
      <c r="AX27" s="178">
        <v>422496.56</v>
      </c>
      <c r="AY27" s="178">
        <v>11269.93</v>
      </c>
      <c r="AZ27" s="428">
        <f t="shared" si="5"/>
        <v>449369.70999999996</v>
      </c>
      <c r="BA27" s="429"/>
      <c r="BB27" s="429"/>
      <c r="BC27" s="430">
        <v>45561</v>
      </c>
      <c r="BD27" s="430"/>
      <c r="BE27" s="178"/>
      <c r="BF27" s="178">
        <v>1556</v>
      </c>
      <c r="BG27" s="178">
        <v>20412.54</v>
      </c>
      <c r="BH27" s="178">
        <v>12048.1</v>
      </c>
      <c r="BI27" s="428">
        <f t="shared" si="6"/>
        <v>34016.639999999999</v>
      </c>
      <c r="BJ27" s="429"/>
      <c r="BK27" s="429"/>
      <c r="BL27" s="618"/>
      <c r="BM27" s="15" t="s">
        <v>463</v>
      </c>
      <c r="BN27" s="15">
        <v>516</v>
      </c>
      <c r="BO27" s="15">
        <v>191</v>
      </c>
      <c r="BP27" s="15">
        <v>177</v>
      </c>
      <c r="BQ27" s="15">
        <v>136</v>
      </c>
      <c r="BR27" s="15">
        <v>108</v>
      </c>
      <c r="BS27" s="15">
        <v>668</v>
      </c>
      <c r="BT27" s="15">
        <v>393</v>
      </c>
      <c r="BU27" s="15"/>
      <c r="BV27" s="619"/>
      <c r="BW27" s="429"/>
      <c r="BX27" s="3"/>
      <c r="BY27" s="3"/>
      <c r="BZ27" s="3"/>
    </row>
    <row r="28" spans="1:78" x14ac:dyDescent="0.25">
      <c r="A28" s="429"/>
      <c r="B28" s="429"/>
      <c r="C28" s="430">
        <v>45196</v>
      </c>
      <c r="D28" s="430"/>
      <c r="E28" s="178">
        <v>4572.59</v>
      </c>
      <c r="F28" s="178">
        <v>9429.6</v>
      </c>
      <c r="G28" s="178">
        <v>4760</v>
      </c>
      <c r="H28" s="178">
        <v>4997.05</v>
      </c>
      <c r="I28" s="428">
        <f t="shared" si="0"/>
        <v>23759.24</v>
      </c>
      <c r="J28" s="429"/>
      <c r="K28" s="430">
        <v>45226</v>
      </c>
      <c r="L28" s="430"/>
      <c r="M28" s="178">
        <v>399.11</v>
      </c>
      <c r="N28" s="178">
        <v>0</v>
      </c>
      <c r="O28" s="178">
        <v>1210</v>
      </c>
      <c r="P28" s="178">
        <v>290.39999999999998</v>
      </c>
      <c r="Q28" s="428">
        <f t="shared" si="1"/>
        <v>1899.5100000000002</v>
      </c>
      <c r="R28" s="429"/>
      <c r="S28" s="429"/>
      <c r="T28" s="430">
        <v>45257</v>
      </c>
      <c r="U28" s="430"/>
      <c r="V28" s="178">
        <v>5398.21</v>
      </c>
      <c r="W28" s="178">
        <v>12990</v>
      </c>
      <c r="X28" s="178">
        <v>6210</v>
      </c>
      <c r="Y28" s="178">
        <v>5290.4</v>
      </c>
      <c r="Z28" s="428">
        <f t="shared" si="2"/>
        <v>29888.61</v>
      </c>
      <c r="AA28" s="429"/>
      <c r="AB28" s="430">
        <v>45287</v>
      </c>
      <c r="AC28" s="430"/>
      <c r="AD28" s="178"/>
      <c r="AE28" s="178">
        <v>2713</v>
      </c>
      <c r="AF28" s="178">
        <v>9968.25</v>
      </c>
      <c r="AG28" s="178">
        <v>3340.4</v>
      </c>
      <c r="AH28" s="428">
        <f>SUM(AD28:AG28)</f>
        <v>16021.65</v>
      </c>
      <c r="AI28" s="429"/>
      <c r="AJ28" s="429"/>
      <c r="AK28" s="430">
        <v>45318</v>
      </c>
      <c r="AL28" s="430"/>
      <c r="AM28" s="178">
        <v>59557.78</v>
      </c>
      <c r="AN28" s="178">
        <v>2713</v>
      </c>
      <c r="AO28" s="178">
        <v>29968.25</v>
      </c>
      <c r="AP28" s="178">
        <v>22790.02</v>
      </c>
      <c r="AQ28" s="428">
        <f t="shared" si="4"/>
        <v>115029.05</v>
      </c>
      <c r="AR28" s="429"/>
      <c r="AS28" s="429"/>
      <c r="AT28" s="430">
        <v>45349</v>
      </c>
      <c r="AU28" s="430"/>
      <c r="AV28" s="178"/>
      <c r="AW28" s="178"/>
      <c r="AX28" s="178">
        <v>422496.56</v>
      </c>
      <c r="AY28" s="178">
        <v>11269.93</v>
      </c>
      <c r="AZ28" s="428">
        <f t="shared" si="5"/>
        <v>433766.49</v>
      </c>
      <c r="BA28" s="429"/>
      <c r="BB28" s="429"/>
      <c r="BC28" s="430">
        <v>45562</v>
      </c>
      <c r="BD28" s="430"/>
      <c r="BE28" s="178"/>
      <c r="BF28" s="178">
        <v>1556</v>
      </c>
      <c r="BG28" s="178">
        <v>20412.54</v>
      </c>
      <c r="BH28" s="178">
        <v>12048.1</v>
      </c>
      <c r="BI28" s="428">
        <f t="shared" si="6"/>
        <v>34016.639999999999</v>
      </c>
      <c r="BJ28" s="429"/>
      <c r="BK28" s="429"/>
      <c r="BL28" s="618"/>
      <c r="BM28" s="15" t="s">
        <v>464</v>
      </c>
      <c r="BN28" s="15">
        <v>205</v>
      </c>
      <c r="BO28" s="15">
        <v>197</v>
      </c>
      <c r="BP28" s="15">
        <v>160</v>
      </c>
      <c r="BQ28" s="15">
        <v>90</v>
      </c>
      <c r="BR28" s="15">
        <v>88</v>
      </c>
      <c r="BS28" s="15">
        <v>188</v>
      </c>
      <c r="BT28" s="15">
        <v>481</v>
      </c>
      <c r="BU28" s="15"/>
      <c r="BV28" s="619"/>
      <c r="BW28" s="617"/>
      <c r="BX28" s="617"/>
      <c r="BY28" s="3"/>
      <c r="BZ28" s="3"/>
    </row>
    <row r="29" spans="1:78" x14ac:dyDescent="0.25">
      <c r="A29" s="429"/>
      <c r="B29" s="429"/>
      <c r="C29" s="430">
        <v>45197</v>
      </c>
      <c r="D29" s="430"/>
      <c r="E29" s="178">
        <v>4572.59</v>
      </c>
      <c r="F29" s="178">
        <v>9429.6</v>
      </c>
      <c r="G29" s="178">
        <v>4760</v>
      </c>
      <c r="H29" s="178">
        <v>4997.05</v>
      </c>
      <c r="I29" s="428">
        <f t="shared" si="0"/>
        <v>23759.24</v>
      </c>
      <c r="J29" s="429"/>
      <c r="K29" s="430">
        <v>45227</v>
      </c>
      <c r="L29" s="430"/>
      <c r="M29" s="178">
        <v>10099.11</v>
      </c>
      <c r="N29" s="178"/>
      <c r="O29" s="178">
        <v>1210</v>
      </c>
      <c r="P29" s="178">
        <v>290.39999999999998</v>
      </c>
      <c r="Q29" s="428">
        <f t="shared" si="1"/>
        <v>11599.51</v>
      </c>
      <c r="R29" s="429"/>
      <c r="S29" s="429"/>
      <c r="T29" s="430">
        <v>45258</v>
      </c>
      <c r="U29" s="430"/>
      <c r="V29" s="178">
        <v>4398.21</v>
      </c>
      <c r="W29" s="178">
        <v>12990</v>
      </c>
      <c r="X29" s="178">
        <v>210</v>
      </c>
      <c r="Y29" s="178">
        <v>5290.4</v>
      </c>
      <c r="Z29" s="428">
        <f t="shared" si="2"/>
        <v>22888.61</v>
      </c>
      <c r="AA29" s="429"/>
      <c r="AB29" s="430">
        <v>45288</v>
      </c>
      <c r="AC29" s="430"/>
      <c r="AD29" s="178"/>
      <c r="AE29" s="178">
        <v>2713</v>
      </c>
      <c r="AF29" s="178">
        <v>9968.25</v>
      </c>
      <c r="AG29" s="178">
        <v>3340.4</v>
      </c>
      <c r="AH29" s="428">
        <f t="shared" si="3"/>
        <v>16021.65</v>
      </c>
      <c r="AI29" s="429"/>
      <c r="AJ29" s="429"/>
      <c r="AK29" s="430">
        <v>45319</v>
      </c>
      <c r="AL29" s="430"/>
      <c r="AM29" s="178">
        <v>30939.25</v>
      </c>
      <c r="AN29" s="178">
        <v>2713</v>
      </c>
      <c r="AO29" s="178">
        <v>29968.25</v>
      </c>
      <c r="AP29" s="178">
        <v>22790.02</v>
      </c>
      <c r="AQ29" s="428">
        <f t="shared" si="4"/>
        <v>86410.52</v>
      </c>
      <c r="AR29" s="429"/>
      <c r="AS29" s="429"/>
      <c r="AT29" s="430">
        <v>45350</v>
      </c>
      <c r="AU29" s="430"/>
      <c r="AV29" s="178"/>
      <c r="AW29" s="178"/>
      <c r="AX29" s="178">
        <v>422496.56</v>
      </c>
      <c r="AY29" s="178">
        <v>5269.93</v>
      </c>
      <c r="AZ29" s="428">
        <f t="shared" si="5"/>
        <v>427766.49</v>
      </c>
      <c r="BA29" s="429"/>
      <c r="BB29" s="429"/>
      <c r="BC29" s="430">
        <v>45563</v>
      </c>
      <c r="BD29" s="430"/>
      <c r="BE29" s="178"/>
      <c r="BF29" s="178">
        <v>1556</v>
      </c>
      <c r="BG29" s="178">
        <v>20412.54</v>
      </c>
      <c r="BH29" s="178">
        <v>12048.1</v>
      </c>
      <c r="BI29" s="428">
        <f t="shared" si="6"/>
        <v>34016.639999999999</v>
      </c>
      <c r="BJ29" s="429"/>
      <c r="BK29" s="429"/>
      <c r="BL29" s="618"/>
      <c r="BM29" s="15" t="s">
        <v>465</v>
      </c>
      <c r="BN29" s="15">
        <v>338</v>
      </c>
      <c r="BO29" s="15">
        <v>281</v>
      </c>
      <c r="BP29" s="15">
        <v>141</v>
      </c>
      <c r="BQ29" s="15">
        <v>114</v>
      </c>
      <c r="BR29" s="15">
        <v>318</v>
      </c>
      <c r="BS29" s="15">
        <v>1323</v>
      </c>
      <c r="BT29" s="15">
        <v>2481</v>
      </c>
      <c r="BU29" s="15"/>
      <c r="BV29" s="619"/>
      <c r="BY29" s="162"/>
    </row>
    <row r="30" spans="1:78" x14ac:dyDescent="0.25">
      <c r="A30" s="429"/>
      <c r="B30" s="429"/>
      <c r="C30" s="430">
        <v>45198</v>
      </c>
      <c r="D30" s="430"/>
      <c r="E30" s="178">
        <v>375260.34</v>
      </c>
      <c r="F30" s="178">
        <v>9429.6</v>
      </c>
      <c r="G30" s="178">
        <v>4760</v>
      </c>
      <c r="H30" s="178">
        <v>4997.05</v>
      </c>
      <c r="I30" s="428">
        <f t="shared" si="0"/>
        <v>394446.99</v>
      </c>
      <c r="J30" s="429"/>
      <c r="K30" s="430">
        <v>45228</v>
      </c>
      <c r="L30" s="430"/>
      <c r="M30" s="178">
        <v>6911.11</v>
      </c>
      <c r="N30" s="178"/>
      <c r="O30" s="178">
        <v>1210</v>
      </c>
      <c r="P30" s="178">
        <v>290.39999999999998</v>
      </c>
      <c r="Q30" s="428">
        <f t="shared" si="1"/>
        <v>8411.51</v>
      </c>
      <c r="R30" s="429"/>
      <c r="S30" s="429"/>
      <c r="T30" s="430">
        <v>45259</v>
      </c>
      <c r="U30" s="430"/>
      <c r="V30" s="178">
        <v>245113.21</v>
      </c>
      <c r="W30" s="178">
        <v>12780</v>
      </c>
      <c r="X30" s="178">
        <v>210</v>
      </c>
      <c r="Y30" s="178">
        <v>5290.4</v>
      </c>
      <c r="Z30" s="428">
        <f t="shared" si="2"/>
        <v>263393.61</v>
      </c>
      <c r="AA30" s="429"/>
      <c r="AB30" s="430">
        <v>45289</v>
      </c>
      <c r="AC30" s="430"/>
      <c r="AD30" s="178"/>
      <c r="AE30" s="178">
        <v>2713</v>
      </c>
      <c r="AF30" s="178">
        <v>9968.25</v>
      </c>
      <c r="AG30" s="178">
        <v>3340.4</v>
      </c>
      <c r="AH30" s="428">
        <f t="shared" si="3"/>
        <v>16021.65</v>
      </c>
      <c r="AI30" s="429"/>
      <c r="AJ30" s="429"/>
      <c r="AK30" s="430">
        <v>45320</v>
      </c>
      <c r="AL30" s="430"/>
      <c r="AM30" s="178"/>
      <c r="AN30" s="178">
        <v>2713</v>
      </c>
      <c r="AO30" s="178">
        <v>9959.98</v>
      </c>
      <c r="AP30" s="178">
        <v>11269.93</v>
      </c>
      <c r="AQ30" s="428">
        <f t="shared" si="4"/>
        <v>23942.91</v>
      </c>
      <c r="AR30" s="429"/>
      <c r="AS30" s="429"/>
      <c r="AT30" s="430">
        <v>45351</v>
      </c>
      <c r="AU30" s="430"/>
      <c r="AV30" s="178"/>
      <c r="AW30" s="178"/>
      <c r="AX30" s="178">
        <v>422496.56</v>
      </c>
      <c r="AY30" s="178">
        <v>5269.93</v>
      </c>
      <c r="AZ30" s="428">
        <f t="shared" si="5"/>
        <v>427766.49</v>
      </c>
      <c r="BA30" s="429"/>
      <c r="BB30" s="429"/>
      <c r="BC30" s="430">
        <v>45564</v>
      </c>
      <c r="BD30" s="430"/>
      <c r="BE30" s="178"/>
      <c r="BF30" s="178">
        <v>1556</v>
      </c>
      <c r="BG30" s="178">
        <v>20412.54</v>
      </c>
      <c r="BH30" s="178">
        <v>12048.1</v>
      </c>
      <c r="BI30" s="428">
        <f t="shared" si="6"/>
        <v>34016.639999999999</v>
      </c>
      <c r="BJ30" s="429"/>
      <c r="BK30" s="429"/>
      <c r="BL30" s="621" t="s">
        <v>471</v>
      </c>
      <c r="BM30" s="39" t="s">
        <v>462</v>
      </c>
      <c r="BN30" s="39">
        <v>96</v>
      </c>
      <c r="BO30" s="39">
        <v>59</v>
      </c>
      <c r="BP30" s="39">
        <v>62</v>
      </c>
      <c r="BQ30" s="39">
        <v>54</v>
      </c>
      <c r="BR30" s="39">
        <v>26</v>
      </c>
      <c r="BS30" s="39">
        <v>89</v>
      </c>
      <c r="BT30" s="39">
        <v>121</v>
      </c>
      <c r="BU30" s="39">
        <v>50</v>
      </c>
      <c r="BV30" s="619">
        <f t="shared" ref="BV30" si="12">SUM(BN30:BU33)</f>
        <v>2494</v>
      </c>
      <c r="BY30" s="162"/>
    </row>
    <row r="31" spans="1:78" x14ac:dyDescent="0.25">
      <c r="A31" s="429"/>
      <c r="B31" s="429"/>
      <c r="C31" s="430">
        <v>45199</v>
      </c>
      <c r="D31" s="430"/>
      <c r="E31" s="178">
        <v>271826.65999999997</v>
      </c>
      <c r="F31" s="178">
        <v>9429.6</v>
      </c>
      <c r="G31" s="178">
        <v>14760</v>
      </c>
      <c r="H31" s="178">
        <v>13459.05</v>
      </c>
      <c r="I31" s="428">
        <f t="shared" si="0"/>
        <v>309475.30999999994</v>
      </c>
      <c r="J31" s="429"/>
      <c r="K31" s="430">
        <v>45229</v>
      </c>
      <c r="L31" s="430"/>
      <c r="M31" s="178">
        <v>748.11</v>
      </c>
      <c r="N31" s="178"/>
      <c r="O31" s="178">
        <v>1210</v>
      </c>
      <c r="P31" s="178">
        <v>290.39999999999998</v>
      </c>
      <c r="Q31" s="428">
        <f t="shared" si="1"/>
        <v>2248.5100000000002</v>
      </c>
      <c r="R31" s="429"/>
      <c r="S31" s="429"/>
      <c r="T31" s="430">
        <v>45260</v>
      </c>
      <c r="U31" s="430"/>
      <c r="V31" s="178">
        <v>245113.21</v>
      </c>
      <c r="W31" s="178">
        <v>12632</v>
      </c>
      <c r="X31" s="178">
        <v>210</v>
      </c>
      <c r="Y31" s="178">
        <v>5290.4</v>
      </c>
      <c r="Z31" s="428">
        <f t="shared" si="2"/>
        <v>263245.61</v>
      </c>
      <c r="AA31" s="429"/>
      <c r="AB31" s="430">
        <v>45290</v>
      </c>
      <c r="AC31" s="430"/>
      <c r="AD31" s="178"/>
      <c r="AE31" s="178">
        <v>2713</v>
      </c>
      <c r="AF31" s="178">
        <v>29968.25</v>
      </c>
      <c r="AG31" s="178">
        <v>3340.4</v>
      </c>
      <c r="AH31" s="428">
        <f t="shared" si="3"/>
        <v>36021.65</v>
      </c>
      <c r="AI31" s="429"/>
      <c r="AJ31" s="429"/>
      <c r="AK31" s="430">
        <v>45321</v>
      </c>
      <c r="AL31" s="430"/>
      <c r="AM31" s="178"/>
      <c r="AN31" s="178">
        <v>2713</v>
      </c>
      <c r="AO31" s="178">
        <v>9959.98</v>
      </c>
      <c r="AP31" s="178">
        <v>11269.93</v>
      </c>
      <c r="AQ31" s="428">
        <f t="shared" si="4"/>
        <v>23942.91</v>
      </c>
      <c r="AR31" s="429"/>
      <c r="AS31" s="429"/>
      <c r="AT31" s="430"/>
      <c r="AU31" s="430"/>
      <c r="AV31" s="178"/>
      <c r="AW31" s="178"/>
      <c r="AX31" s="178"/>
      <c r="AY31" s="178"/>
      <c r="AZ31" s="428">
        <f t="shared" si="5"/>
        <v>0</v>
      </c>
      <c r="BA31" s="429"/>
      <c r="BB31" s="429"/>
      <c r="BC31" s="430">
        <v>45565</v>
      </c>
      <c r="BD31" s="430"/>
      <c r="BE31" s="178"/>
      <c r="BF31" s="178">
        <v>1556</v>
      </c>
      <c r="BG31" s="178">
        <v>20412.54</v>
      </c>
      <c r="BH31" s="178">
        <v>12048.1</v>
      </c>
      <c r="BI31" s="428">
        <f t="shared" si="6"/>
        <v>34016.639999999999</v>
      </c>
      <c r="BJ31" s="429"/>
      <c r="BK31" s="429"/>
      <c r="BL31" s="621"/>
      <c r="BM31" s="39" t="s">
        <v>463</v>
      </c>
      <c r="BN31" s="39">
        <v>76</v>
      </c>
      <c r="BO31" s="39">
        <v>77</v>
      </c>
      <c r="BP31" s="39">
        <v>83</v>
      </c>
      <c r="BQ31" s="39">
        <v>30</v>
      </c>
      <c r="BR31" s="39">
        <v>77</v>
      </c>
      <c r="BS31" s="39">
        <v>161</v>
      </c>
      <c r="BT31" s="39">
        <v>137</v>
      </c>
      <c r="BU31" s="39"/>
      <c r="BV31" s="619"/>
      <c r="BY31" s="24"/>
    </row>
    <row r="32" spans="1:78" x14ac:dyDescent="0.25">
      <c r="A32" s="429"/>
      <c r="B32" s="429"/>
      <c r="C32" s="430"/>
      <c r="D32" s="430"/>
      <c r="E32" s="178"/>
      <c r="F32" s="178"/>
      <c r="G32" s="178"/>
      <c r="H32" s="178"/>
      <c r="I32" s="428"/>
      <c r="J32" s="429"/>
      <c r="K32" s="430">
        <v>45230</v>
      </c>
      <c r="L32" s="430"/>
      <c r="M32" s="178">
        <v>211406.47</v>
      </c>
      <c r="N32" s="178"/>
      <c r="O32" s="178">
        <v>1210</v>
      </c>
      <c r="P32" s="178">
        <v>290.39999999999998</v>
      </c>
      <c r="Q32" s="428">
        <f t="shared" si="1"/>
        <v>212906.87</v>
      </c>
      <c r="R32" s="429"/>
      <c r="S32" s="429"/>
      <c r="T32" s="430"/>
      <c r="U32" s="430"/>
      <c r="V32" s="178"/>
      <c r="W32" s="178"/>
      <c r="X32" s="178"/>
      <c r="Y32" s="178"/>
      <c r="Z32" s="428"/>
      <c r="AA32" s="429"/>
      <c r="AB32" s="430">
        <v>45291</v>
      </c>
      <c r="AC32" s="430"/>
      <c r="AD32" s="178"/>
      <c r="AE32" s="178">
        <v>2713</v>
      </c>
      <c r="AF32" s="178">
        <v>29968.25</v>
      </c>
      <c r="AG32" s="178">
        <v>3340.4</v>
      </c>
      <c r="AH32" s="428"/>
      <c r="AI32" s="429"/>
      <c r="AJ32" s="429"/>
      <c r="AK32" s="430">
        <v>45322</v>
      </c>
      <c r="AL32" s="430"/>
      <c r="AM32" s="178">
        <v>375986.44</v>
      </c>
      <c r="AN32" s="178">
        <v>2713</v>
      </c>
      <c r="AO32" s="178">
        <v>9959.98</v>
      </c>
      <c r="AP32" s="178">
        <v>11269.93</v>
      </c>
      <c r="AQ32" s="428">
        <f t="shared" si="4"/>
        <v>399929.35</v>
      </c>
      <c r="AR32" s="429"/>
      <c r="AS32" s="429"/>
      <c r="AT32" s="430"/>
      <c r="AU32" s="430"/>
      <c r="AV32" s="178"/>
      <c r="AW32" s="178"/>
      <c r="AX32" s="178"/>
      <c r="AY32" s="178"/>
      <c r="AZ32" s="428">
        <f t="shared" si="5"/>
        <v>0</v>
      </c>
      <c r="BA32" s="429"/>
      <c r="BB32" s="429"/>
      <c r="BC32" s="430"/>
      <c r="BD32" s="430"/>
      <c r="BE32" s="178"/>
      <c r="BF32" s="178"/>
      <c r="BG32" s="178"/>
      <c r="BH32" s="178"/>
      <c r="BI32" s="428">
        <f t="shared" si="6"/>
        <v>0</v>
      </c>
      <c r="BJ32" s="429"/>
      <c r="BK32" s="429"/>
      <c r="BL32" s="621"/>
      <c r="BM32" s="39" t="s">
        <v>464</v>
      </c>
      <c r="BN32" s="39">
        <v>26</v>
      </c>
      <c r="BO32" s="39">
        <v>101</v>
      </c>
      <c r="BP32" s="39">
        <v>71</v>
      </c>
      <c r="BQ32" s="39">
        <v>51</v>
      </c>
      <c r="BR32" s="39">
        <v>94</v>
      </c>
      <c r="BS32" s="39">
        <v>82</v>
      </c>
      <c r="BT32" s="39">
        <v>42</v>
      </c>
      <c r="BU32" s="39"/>
      <c r="BV32" s="619"/>
      <c r="BY32" s="24"/>
    </row>
    <row r="33" spans="1:77" x14ac:dyDescent="0.25">
      <c r="A33" s="429"/>
      <c r="B33" s="429"/>
      <c r="C33" s="428"/>
      <c r="D33" s="428"/>
      <c r="E33" s="178"/>
      <c r="F33" s="178"/>
      <c r="G33" s="178"/>
      <c r="H33" s="178"/>
      <c r="I33" s="428"/>
      <c r="J33" s="429"/>
      <c r="K33" s="428"/>
      <c r="L33" s="428"/>
      <c r="M33" s="178"/>
      <c r="N33" s="178"/>
      <c r="O33" s="178"/>
      <c r="P33" s="178"/>
      <c r="Q33" s="428"/>
      <c r="R33" s="429"/>
      <c r="S33" s="429"/>
      <c r="T33" s="428"/>
      <c r="U33" s="428"/>
      <c r="V33" s="178"/>
      <c r="W33" s="178"/>
      <c r="X33" s="178"/>
      <c r="Y33" s="178"/>
      <c r="Z33" s="428"/>
      <c r="AA33" s="429"/>
      <c r="AB33" s="428"/>
      <c r="AC33" s="428"/>
      <c r="AD33" s="178"/>
      <c r="AE33" s="178"/>
      <c r="AF33" s="178"/>
      <c r="AG33" s="178"/>
      <c r="AH33" s="428"/>
      <c r="AI33" s="429"/>
      <c r="AJ33" s="429"/>
      <c r="AK33" s="428"/>
      <c r="AL33" s="428"/>
      <c r="AM33" s="178"/>
      <c r="AN33" s="178"/>
      <c r="AO33" s="178"/>
      <c r="AP33" s="178"/>
      <c r="AQ33" s="428"/>
      <c r="AR33" s="429"/>
      <c r="AS33" s="429"/>
      <c r="AT33" s="428"/>
      <c r="AU33" s="428"/>
      <c r="AV33" s="178"/>
      <c r="AW33" s="178"/>
      <c r="AX33" s="178"/>
      <c r="AY33" s="178"/>
      <c r="AZ33" s="428"/>
      <c r="BA33" s="429"/>
      <c r="BB33" s="429"/>
      <c r="BC33" s="428"/>
      <c r="BD33" s="428"/>
      <c r="BE33" s="178"/>
      <c r="BF33" s="178"/>
      <c r="BG33" s="178"/>
      <c r="BH33" s="178"/>
      <c r="BI33" s="428"/>
      <c r="BJ33" s="429"/>
      <c r="BK33" s="429"/>
      <c r="BL33" s="621"/>
      <c r="BM33" s="39" t="s">
        <v>465</v>
      </c>
      <c r="BN33" s="39">
        <v>55</v>
      </c>
      <c r="BO33" s="39">
        <v>55</v>
      </c>
      <c r="BP33" s="39">
        <v>133</v>
      </c>
      <c r="BQ33" s="39">
        <v>29</v>
      </c>
      <c r="BR33" s="39">
        <v>107</v>
      </c>
      <c r="BS33" s="39">
        <v>291</v>
      </c>
      <c r="BT33" s="39">
        <v>159</v>
      </c>
      <c r="BU33" s="39"/>
      <c r="BV33" s="619"/>
    </row>
    <row r="34" spans="1:77" x14ac:dyDescent="0.25">
      <c r="A34" s="429"/>
      <c r="B34" s="429"/>
      <c r="C34" s="429" t="s">
        <v>472</v>
      </c>
      <c r="D34" s="429"/>
      <c r="E34" s="429">
        <f>SUM(E2:E32)/$C$1</f>
        <v>39042.689666666673</v>
      </c>
      <c r="F34" s="429">
        <f t="shared" ref="F34:I34" si="13">SUM(F2:F32)/$C$1</f>
        <v>12979.666666666661</v>
      </c>
      <c r="G34" s="429">
        <f t="shared" si="13"/>
        <v>9045.6666666666661</v>
      </c>
      <c r="H34" s="429">
        <f t="shared" si="13"/>
        <v>5615.0066666666653</v>
      </c>
      <c r="I34" s="429">
        <f t="shared" si="13"/>
        <v>66683.029666666655</v>
      </c>
      <c r="J34" s="429"/>
      <c r="K34" s="429" t="s">
        <v>472</v>
      </c>
      <c r="L34" s="429"/>
      <c r="M34" s="429">
        <f>SUM(M2:M32)/$K$1</f>
        <v>62760.068387096799</v>
      </c>
      <c r="N34" s="429">
        <f t="shared" ref="N34:Q34" si="14">SUM(N2:N32)/$K$1</f>
        <v>5111.0967741935501</v>
      </c>
      <c r="O34" s="429">
        <f t="shared" si="14"/>
        <v>7353.5483870967746</v>
      </c>
      <c r="P34" s="429">
        <f t="shared" si="14"/>
        <v>6040.1370967741896</v>
      </c>
      <c r="Q34" s="429">
        <f t="shared" si="14"/>
        <v>81264.850645161176</v>
      </c>
      <c r="R34" s="429"/>
      <c r="S34" s="429"/>
      <c r="T34" s="429" t="s">
        <v>472</v>
      </c>
      <c r="U34" s="429"/>
      <c r="V34" s="429">
        <f>SUM(V2:V32)/$T$1</f>
        <v>95762.357000000004</v>
      </c>
      <c r="W34" s="429">
        <f t="shared" ref="W34:Z34" si="15">SUM(W2:W32)/$T$1</f>
        <v>4434.0666666666666</v>
      </c>
      <c r="X34" s="429">
        <f t="shared" si="15"/>
        <v>4776.666666666667</v>
      </c>
      <c r="Y34" s="429">
        <f t="shared" si="15"/>
        <v>4123.7333333333318</v>
      </c>
      <c r="Z34" s="429">
        <f t="shared" si="15"/>
        <v>109096.82366666662</v>
      </c>
      <c r="AA34" s="429"/>
      <c r="AB34" s="429" t="s">
        <v>472</v>
      </c>
      <c r="AC34" s="429"/>
      <c r="AD34" s="429">
        <f>SUM(AD2:AD32)/$AB$1</f>
        <v>19164.939032258069</v>
      </c>
      <c r="AE34" s="429">
        <f t="shared" ref="AE34:AH34" si="16">SUM(AE2:AE32)/$AB$1</f>
        <v>5905.8387096774195</v>
      </c>
      <c r="AF34" s="429">
        <f t="shared" si="16"/>
        <v>9384.3306451612898</v>
      </c>
      <c r="AG34" s="429">
        <f t="shared" si="16"/>
        <v>3372.6580645161275</v>
      </c>
      <c r="AH34" s="429">
        <f t="shared" si="16"/>
        <v>36665.77774193549</v>
      </c>
      <c r="AI34" s="429"/>
      <c r="AJ34" s="429"/>
      <c r="AK34" s="429" t="s">
        <v>472</v>
      </c>
      <c r="AL34" s="429"/>
      <c r="AM34" s="429">
        <f>SUM(AM2:AM32)/$AB$1</f>
        <v>48047.037741935492</v>
      </c>
      <c r="AN34" s="429">
        <f t="shared" ref="AN34:AP34" si="17">SUM(AN2:AN32)/$AB$1</f>
        <v>2713</v>
      </c>
      <c r="AO34" s="429">
        <f t="shared" si="17"/>
        <v>28031.965806451612</v>
      </c>
      <c r="AP34" s="429">
        <f t="shared" si="17"/>
        <v>30578.693225806466</v>
      </c>
      <c r="AQ34" s="429">
        <f>SUM(AQ2:AQ32)/$AB$1</f>
        <v>109370.69677419352</v>
      </c>
      <c r="AR34" s="429"/>
      <c r="AS34" s="429"/>
      <c r="AT34" s="429" t="s">
        <v>472</v>
      </c>
      <c r="AU34" s="429"/>
      <c r="AV34" s="429">
        <f>SUM(AV2:AV32)/$AT$1</f>
        <v>75315.56</v>
      </c>
      <c r="AW34" s="429">
        <f>SUM(AW2:AW32)/$AT$1</f>
        <v>2432.344827586207</v>
      </c>
      <c r="AX34" s="429">
        <f>SUM(AX2:AX32)/$AT$1</f>
        <v>63083.998620689665</v>
      </c>
      <c r="AY34" s="429">
        <f>SUM(AY2:AY32)/$AT$1</f>
        <v>10856.136896551719</v>
      </c>
      <c r="AZ34" s="429">
        <f>SUM(AZ2:AZ32)/$AT$1</f>
        <v>151688.04034482772</v>
      </c>
      <c r="BA34" s="429"/>
      <c r="BB34" s="429"/>
      <c r="BC34" s="429" t="s">
        <v>472</v>
      </c>
      <c r="BD34" s="429"/>
      <c r="BE34" s="429">
        <f>SUM(BE2:BE32)/$BC$1</f>
        <v>0</v>
      </c>
      <c r="BF34" s="429">
        <f>SUM(BF2:BF32)/$BC$1</f>
        <v>1671.2</v>
      </c>
      <c r="BG34" s="429">
        <f>SUM(BG2:BG32)/$BC$1</f>
        <v>8679.2066666666688</v>
      </c>
      <c r="BH34" s="429">
        <f>SUM(BH2:BH32)/$BC$1</f>
        <v>5636.2903333333343</v>
      </c>
      <c r="BI34" s="429">
        <f>SUM(BI2:BI32)/$BC$1</f>
        <v>15986.697000000004</v>
      </c>
      <c r="BJ34" s="429"/>
      <c r="BK34" s="429"/>
      <c r="BL34" s="618" t="s">
        <v>319</v>
      </c>
      <c r="BM34" s="15" t="s">
        <v>462</v>
      </c>
      <c r="BN34" s="15">
        <v>0</v>
      </c>
      <c r="BO34" s="15">
        <v>0</v>
      </c>
      <c r="BP34" s="15">
        <v>120</v>
      </c>
      <c r="BQ34" s="15">
        <v>107</v>
      </c>
      <c r="BR34" s="15">
        <v>163</v>
      </c>
      <c r="BS34" s="15"/>
      <c r="BT34" s="15">
        <v>122</v>
      </c>
      <c r="BU34" s="15"/>
      <c r="BV34" s="619">
        <f t="shared" ref="BV34" si="18">SUM(BN34:BU37)</f>
        <v>4708</v>
      </c>
    </row>
    <row r="35" spans="1:77" x14ac:dyDescent="0.25">
      <c r="A35" s="429"/>
      <c r="B35" s="429"/>
      <c r="C35" s="46" t="s">
        <v>473</v>
      </c>
      <c r="D35" s="46"/>
      <c r="E35" s="46">
        <v>0</v>
      </c>
      <c r="F35" s="46">
        <v>0</v>
      </c>
      <c r="G35" s="46">
        <v>3000</v>
      </c>
      <c r="H35" s="46">
        <v>1000</v>
      </c>
      <c r="I35" s="429"/>
      <c r="J35" s="429"/>
      <c r="K35" s="46" t="s">
        <v>473</v>
      </c>
      <c r="L35" s="46"/>
      <c r="M35" s="46">
        <v>0</v>
      </c>
      <c r="N35" s="46">
        <v>0</v>
      </c>
      <c r="O35" s="46">
        <v>3000</v>
      </c>
      <c r="P35" s="46">
        <v>1000</v>
      </c>
      <c r="Q35" s="429"/>
      <c r="R35" s="429"/>
      <c r="S35" s="429"/>
      <c r="T35" s="46" t="s">
        <v>473</v>
      </c>
      <c r="U35" s="46"/>
      <c r="V35" s="46">
        <v>0</v>
      </c>
      <c r="W35" s="46">
        <v>0</v>
      </c>
      <c r="X35" s="46">
        <v>3000</v>
      </c>
      <c r="Y35" s="46">
        <v>1000</v>
      </c>
      <c r="Z35" s="429"/>
      <c r="AA35" s="429"/>
      <c r="AB35" s="46" t="s">
        <v>473</v>
      </c>
      <c r="AC35" s="46"/>
      <c r="AD35" s="46">
        <v>0</v>
      </c>
      <c r="AE35" s="46">
        <v>0</v>
      </c>
      <c r="AF35" s="46">
        <v>3000</v>
      </c>
      <c r="AG35" s="46">
        <v>1000</v>
      </c>
      <c r="AH35" s="429"/>
      <c r="AI35" s="429"/>
      <c r="AJ35" s="429"/>
      <c r="AK35" s="46" t="s">
        <v>473</v>
      </c>
      <c r="AL35" s="46"/>
      <c r="AM35" s="46">
        <v>0</v>
      </c>
      <c r="AN35" s="46">
        <v>0</v>
      </c>
      <c r="AO35" s="46">
        <v>3000</v>
      </c>
      <c r="AP35" s="46">
        <v>1000</v>
      </c>
      <c r="AQ35" s="429"/>
      <c r="AR35" s="429"/>
      <c r="AS35" s="429"/>
      <c r="AT35" s="46" t="s">
        <v>473</v>
      </c>
      <c r="AU35" s="46"/>
      <c r="AV35" s="46">
        <v>0</v>
      </c>
      <c r="AW35" s="46">
        <v>0</v>
      </c>
      <c r="AX35" s="46">
        <v>3000</v>
      </c>
      <c r="AY35" s="46">
        <v>1000</v>
      </c>
      <c r="AZ35" s="429"/>
      <c r="BA35" s="429"/>
      <c r="BB35" s="429"/>
      <c r="BC35" s="46" t="s">
        <v>473</v>
      </c>
      <c r="BD35" s="46"/>
      <c r="BE35" s="46">
        <v>0</v>
      </c>
      <c r="BF35" s="46">
        <v>0</v>
      </c>
      <c r="BG35" s="46">
        <v>3000</v>
      </c>
      <c r="BH35" s="46">
        <v>1000</v>
      </c>
      <c r="BI35" s="429"/>
      <c r="BJ35" s="429"/>
      <c r="BK35" s="429"/>
      <c r="BL35" s="618"/>
      <c r="BM35" s="15" t="s">
        <v>463</v>
      </c>
      <c r="BN35" s="15">
        <v>0</v>
      </c>
      <c r="BO35" s="15">
        <v>0</v>
      </c>
      <c r="BP35" s="15">
        <v>185</v>
      </c>
      <c r="BQ35" s="15">
        <v>122</v>
      </c>
      <c r="BR35" s="15">
        <v>110</v>
      </c>
      <c r="BS35" s="15"/>
      <c r="BT35" s="15">
        <v>134</v>
      </c>
      <c r="BU35" s="15"/>
      <c r="BV35" s="619"/>
    </row>
    <row r="36" spans="1:77" x14ac:dyDescent="0.25">
      <c r="A36" s="429"/>
      <c r="B36" s="429"/>
      <c r="C36" s="429"/>
      <c r="D36" s="429"/>
      <c r="E36" s="429"/>
      <c r="F36" s="429"/>
      <c r="G36" s="429"/>
      <c r="H36" s="429"/>
      <c r="I36" s="429"/>
      <c r="J36" s="429"/>
      <c r="K36" s="429"/>
      <c r="L36" s="429"/>
      <c r="M36" s="429"/>
      <c r="N36" s="429"/>
      <c r="O36" s="429"/>
      <c r="P36" s="429"/>
      <c r="Q36" s="429"/>
      <c r="R36" s="429"/>
      <c r="S36" s="429"/>
      <c r="T36" s="429"/>
      <c r="U36" s="429"/>
      <c r="V36" s="429"/>
      <c r="W36" s="429"/>
      <c r="X36" s="429"/>
      <c r="Y36" s="429"/>
      <c r="Z36" s="429"/>
      <c r="AA36" s="429"/>
      <c r="AB36" s="429"/>
      <c r="AC36" s="429"/>
      <c r="AD36" s="429"/>
      <c r="AE36" s="429"/>
      <c r="AF36" s="429"/>
      <c r="AG36" s="429"/>
      <c r="AH36" s="429"/>
      <c r="AI36" s="429"/>
      <c r="AJ36" s="429"/>
      <c r="AK36" s="429"/>
      <c r="AL36" s="429"/>
      <c r="AM36" s="429"/>
      <c r="AN36" s="429"/>
      <c r="AO36" s="429"/>
      <c r="AP36" s="429"/>
      <c r="AQ36" s="429"/>
      <c r="AR36" s="429"/>
      <c r="AS36" s="429"/>
      <c r="AT36" s="429"/>
      <c r="AU36" s="429"/>
      <c r="AV36" s="429"/>
      <c r="AW36" s="429"/>
      <c r="AX36" s="429"/>
      <c r="AY36" s="429"/>
      <c r="AZ36" s="429"/>
      <c r="BA36" s="429"/>
      <c r="BB36" s="429"/>
      <c r="BC36" s="429"/>
      <c r="BD36" s="429"/>
      <c r="BE36" s="429"/>
      <c r="BF36" s="429"/>
      <c r="BG36" s="429"/>
      <c r="BH36" s="429"/>
      <c r="BI36" s="429"/>
      <c r="BJ36" s="429"/>
      <c r="BK36" s="429"/>
      <c r="BL36" s="618"/>
      <c r="BM36" s="15" t="s">
        <v>464</v>
      </c>
      <c r="BN36" s="15">
        <v>0</v>
      </c>
      <c r="BO36" s="15">
        <v>0</v>
      </c>
      <c r="BP36" s="15">
        <v>121</v>
      </c>
      <c r="BQ36" s="15">
        <v>217</v>
      </c>
      <c r="BR36" s="15">
        <v>112</v>
      </c>
      <c r="BS36" s="15">
        <v>1001</v>
      </c>
      <c r="BT36" s="15">
        <v>135</v>
      </c>
      <c r="BU36" s="15"/>
      <c r="BV36" s="619"/>
      <c r="BW36" s="429"/>
      <c r="BX36" s="3"/>
      <c r="BY36" s="3"/>
    </row>
    <row r="37" spans="1:77" x14ac:dyDescent="0.25">
      <c r="C37" s="3"/>
      <c r="D37" s="3"/>
      <c r="E37" s="3"/>
      <c r="F37" s="3">
        <v>282523.78000000003</v>
      </c>
      <c r="G37" s="3"/>
      <c r="H37" s="3"/>
      <c r="K37" s="3"/>
      <c r="L37" s="3"/>
      <c r="M37" s="3"/>
      <c r="N37" s="3">
        <v>282523.78000000003</v>
      </c>
      <c r="O37" s="3"/>
      <c r="P37" s="3"/>
      <c r="T37" s="3"/>
      <c r="U37" s="3"/>
      <c r="V37" s="3"/>
      <c r="W37" s="3">
        <v>282523.78000000003</v>
      </c>
      <c r="X37" s="3"/>
      <c r="Y37" s="3"/>
      <c r="AB37" s="3"/>
      <c r="AC37" s="3"/>
      <c r="AD37" s="3"/>
      <c r="AE37" s="3">
        <v>282523.78000000003</v>
      </c>
      <c r="AF37" s="3"/>
      <c r="AG37" s="3"/>
      <c r="AK37" s="3"/>
      <c r="AL37" s="3"/>
      <c r="AM37" s="3"/>
      <c r="AN37" s="3">
        <v>282523.78000000003</v>
      </c>
      <c r="AO37" s="3"/>
      <c r="AP37" s="3"/>
      <c r="AT37" s="3"/>
      <c r="AU37" s="3"/>
      <c r="AV37" s="3"/>
      <c r="AW37" s="3">
        <v>282523.78000000003</v>
      </c>
      <c r="AX37" s="3"/>
      <c r="AY37" s="3"/>
      <c r="BC37" s="3"/>
      <c r="BD37" s="3"/>
      <c r="BE37" s="3"/>
      <c r="BF37" s="3">
        <v>282523.78000000003</v>
      </c>
      <c r="BG37" s="3"/>
      <c r="BH37" s="3"/>
      <c r="BL37" s="618"/>
      <c r="BM37" s="15" t="s">
        <v>465</v>
      </c>
      <c r="BN37" s="15">
        <v>0</v>
      </c>
      <c r="BO37" s="15">
        <v>0</v>
      </c>
      <c r="BP37" s="15">
        <v>268</v>
      </c>
      <c r="BQ37" s="15">
        <v>262</v>
      </c>
      <c r="BR37" s="15">
        <v>287</v>
      </c>
      <c r="BS37" s="15">
        <v>390</v>
      </c>
      <c r="BT37" s="15">
        <v>852</v>
      </c>
      <c r="BU37" s="15"/>
      <c r="BV37" s="619"/>
    </row>
    <row r="38" spans="1:77" x14ac:dyDescent="0.25">
      <c r="BL38" s="623" t="s">
        <v>474</v>
      </c>
      <c r="BM38" s="184" t="s">
        <v>462</v>
      </c>
      <c r="BN38" s="184">
        <v>9.83</v>
      </c>
      <c r="BO38" s="184">
        <v>273.5</v>
      </c>
      <c r="BP38" s="184">
        <v>260</v>
      </c>
      <c r="BQ38" s="184"/>
      <c r="BR38" s="184"/>
      <c r="BS38" s="184"/>
      <c r="BT38" s="184"/>
      <c r="BU38" s="184">
        <v>736</v>
      </c>
      <c r="BV38" s="619">
        <f t="shared" ref="BV38" si="19">SUM(BN38:BU41)</f>
        <v>3556.74</v>
      </c>
    </row>
    <row r="39" spans="1:77" x14ac:dyDescent="0.25">
      <c r="BG39" s="529" t="s">
        <v>1525</v>
      </c>
      <c r="BL39" s="623"/>
      <c r="BM39" s="184" t="s">
        <v>463</v>
      </c>
      <c r="BN39" s="184">
        <v>646.74</v>
      </c>
      <c r="BO39" s="184">
        <v>240.32</v>
      </c>
      <c r="BP39" s="184">
        <v>187</v>
      </c>
      <c r="BQ39" s="184"/>
      <c r="BR39" s="184"/>
      <c r="BS39" s="184"/>
      <c r="BT39" s="184"/>
      <c r="BU39" s="184"/>
      <c r="BV39" s="619"/>
    </row>
    <row r="40" spans="1:77" x14ac:dyDescent="0.25">
      <c r="BL40" s="623"/>
      <c r="BM40" s="184" t="s">
        <v>464</v>
      </c>
      <c r="BN40" s="184">
        <v>150.35</v>
      </c>
      <c r="BO40" s="184">
        <v>343.62</v>
      </c>
      <c r="BP40" s="184">
        <v>15</v>
      </c>
      <c r="BQ40" s="184"/>
      <c r="BR40" s="184"/>
      <c r="BS40" s="184"/>
      <c r="BT40" s="184"/>
      <c r="BU40" s="184"/>
      <c r="BV40" s="619"/>
    </row>
    <row r="41" spans="1:77" x14ac:dyDescent="0.25">
      <c r="BL41" s="623"/>
      <c r="BM41" s="184" t="s">
        <v>465</v>
      </c>
      <c r="BN41" s="184">
        <v>608.12</v>
      </c>
      <c r="BO41" s="184">
        <v>86.26</v>
      </c>
      <c r="BP41" s="184" t="s">
        <v>340</v>
      </c>
      <c r="BQ41" s="184"/>
      <c r="BR41" s="184"/>
      <c r="BS41" s="184"/>
      <c r="BT41" s="184"/>
      <c r="BU41" s="184"/>
      <c r="BV41" s="619"/>
    </row>
    <row r="42" spans="1:77" x14ac:dyDescent="0.25">
      <c r="BL42" s="36" t="s">
        <v>18</v>
      </c>
      <c r="BM42" s="36"/>
      <c r="BN42" s="36">
        <f>SUM(BN2:BN41)</f>
        <v>10608.670000000002</v>
      </c>
      <c r="BO42" s="36">
        <f t="shared" ref="BO42:BS42" si="20">SUM(BO2:BO41)</f>
        <v>10593.71</v>
      </c>
      <c r="BP42" s="36">
        <f t="shared" si="20"/>
        <v>11927</v>
      </c>
      <c r="BQ42" s="36">
        <f t="shared" si="20"/>
        <v>16738</v>
      </c>
      <c r="BR42" s="36">
        <f t="shared" si="20"/>
        <v>11663</v>
      </c>
      <c r="BS42" s="36">
        <f t="shared" si="20"/>
        <v>5938</v>
      </c>
      <c r="BT42" s="36">
        <f t="shared" ref="BT42:BU42" si="21">SUM(BT2:BT41)</f>
        <v>6013</v>
      </c>
      <c r="BU42" s="36">
        <f t="shared" si="21"/>
        <v>1537</v>
      </c>
      <c r="BV42" s="15"/>
    </row>
    <row r="43" spans="1:77" x14ac:dyDescent="0.25">
      <c r="BL43" s="11">
        <v>1500</v>
      </c>
    </row>
    <row r="44" spans="1:77" x14ac:dyDescent="0.25">
      <c r="BL44" s="11">
        <v>10000</v>
      </c>
    </row>
    <row r="48" spans="1:77" x14ac:dyDescent="0.25">
      <c r="BN48" s="5" t="s">
        <v>0</v>
      </c>
      <c r="BO48" s="9">
        <f>SUM(BO49:BO61)</f>
        <v>172167.26</v>
      </c>
      <c r="BP48" s="3">
        <v>550000</v>
      </c>
      <c r="BQ48" s="374">
        <f>BO48+BP48</f>
        <v>722167.26</v>
      </c>
    </row>
    <row r="49" spans="5:69" x14ac:dyDescent="0.25">
      <c r="BN49" s="5" t="s">
        <v>475</v>
      </c>
      <c r="BO49" s="4">
        <v>989870</v>
      </c>
      <c r="BP49" s="2"/>
      <c r="BQ49" s="2"/>
    </row>
    <row r="50" spans="5:69" x14ac:dyDescent="0.25">
      <c r="BN50" s="5" t="s">
        <v>476</v>
      </c>
      <c r="BO50" s="4">
        <v>-550000</v>
      </c>
      <c r="BP50" s="2"/>
      <c r="BQ50" s="2"/>
    </row>
    <row r="51" spans="5:69" x14ac:dyDescent="0.25">
      <c r="BN51" s="5" t="s">
        <v>477</v>
      </c>
      <c r="BO51" s="4">
        <v>-108565</v>
      </c>
      <c r="BP51" s="2"/>
      <c r="BQ51" s="2"/>
    </row>
    <row r="52" spans="5:69" x14ac:dyDescent="0.25">
      <c r="BN52" s="5" t="s">
        <v>478</v>
      </c>
      <c r="BO52" s="4">
        <v>-7960.93</v>
      </c>
      <c r="BP52" s="2"/>
      <c r="BQ52" s="2"/>
    </row>
    <row r="53" spans="5:69" x14ac:dyDescent="0.25">
      <c r="BN53" s="5" t="s">
        <v>479</v>
      </c>
      <c r="BO53" s="4">
        <v>-13284.89</v>
      </c>
      <c r="BP53" s="2"/>
      <c r="BQ53" s="2"/>
    </row>
    <row r="54" spans="5:69" x14ac:dyDescent="0.25">
      <c r="E54" s="178"/>
      <c r="M54" s="178"/>
      <c r="V54" s="178"/>
      <c r="AD54" s="178"/>
      <c r="AM54" s="178"/>
      <c r="AV54" s="178"/>
      <c r="BE54" s="178"/>
      <c r="BN54" s="5" t="s">
        <v>480</v>
      </c>
      <c r="BO54" s="4">
        <v>-116504</v>
      </c>
      <c r="BP54" s="2"/>
      <c r="BQ54" s="2"/>
    </row>
    <row r="55" spans="5:69" x14ac:dyDescent="0.25">
      <c r="BN55" s="5"/>
      <c r="BO55" s="4">
        <v>-21387.919999999998</v>
      </c>
      <c r="BP55" s="2"/>
      <c r="BQ55" s="2"/>
    </row>
    <row r="56" spans="5:69" x14ac:dyDescent="0.25">
      <c r="BN56" s="5"/>
      <c r="BO56" s="4"/>
      <c r="BP56" s="2"/>
      <c r="BQ56" s="2"/>
    </row>
    <row r="57" spans="5:69" x14ac:dyDescent="0.25">
      <c r="BN57" s="5"/>
      <c r="BO57" s="4"/>
      <c r="BP57" s="2"/>
      <c r="BQ57" s="2"/>
    </row>
    <row r="58" spans="5:69" x14ac:dyDescent="0.25">
      <c r="BN58" s="5"/>
      <c r="BO58" s="4"/>
      <c r="BP58" s="2"/>
      <c r="BQ58" s="2"/>
    </row>
    <row r="59" spans="5:69" x14ac:dyDescent="0.25">
      <c r="BN59" s="5"/>
      <c r="BO59" s="4"/>
      <c r="BP59" s="2"/>
      <c r="BQ59" s="2"/>
    </row>
    <row r="60" spans="5:69" x14ac:dyDescent="0.25">
      <c r="BN60" s="5"/>
      <c r="BO60" s="4"/>
      <c r="BP60" s="2"/>
      <c r="BQ60" s="2"/>
    </row>
    <row r="61" spans="5:69" x14ac:dyDescent="0.25">
      <c r="BN61" s="5"/>
      <c r="BO61" s="4"/>
      <c r="BP61" s="2"/>
      <c r="BQ61" s="2"/>
    </row>
  </sheetData>
  <mergeCells count="21">
    <mergeCell ref="BL2:BL5"/>
    <mergeCell ref="BV38:BV41"/>
    <mergeCell ref="BV30:BV33"/>
    <mergeCell ref="BV26:BV29"/>
    <mergeCell ref="BV2:BV5"/>
    <mergeCell ref="BL10:BL13"/>
    <mergeCell ref="BL6:BL9"/>
    <mergeCell ref="BV10:BV13"/>
    <mergeCell ref="BL38:BL41"/>
    <mergeCell ref="BL30:BL33"/>
    <mergeCell ref="BV6:BV9"/>
    <mergeCell ref="BV34:BV37"/>
    <mergeCell ref="BL18:BL21"/>
    <mergeCell ref="BW28:BX28"/>
    <mergeCell ref="BL34:BL37"/>
    <mergeCell ref="BV22:BV25"/>
    <mergeCell ref="BL22:BL25"/>
    <mergeCell ref="BL14:BL17"/>
    <mergeCell ref="BV14:BV17"/>
    <mergeCell ref="BV18:BV21"/>
    <mergeCell ref="BL26:BL29"/>
  </mergeCells>
  <conditionalFormatting sqref="C2:D32">
    <cfRule type="cellIs" dxfId="36" priority="20" operator="equal">
      <formula>TODAY()</formula>
    </cfRule>
  </conditionalFormatting>
  <conditionalFormatting sqref="H2:H32">
    <cfRule type="cellIs" dxfId="35" priority="19" operator="equal">
      <formula>TODAY()</formula>
    </cfRule>
  </conditionalFormatting>
  <conditionalFormatting sqref="K2:L32">
    <cfRule type="cellIs" dxfId="34" priority="18" operator="equal">
      <formula>TODAY()</formula>
    </cfRule>
  </conditionalFormatting>
  <conditionalFormatting sqref="P2:P32">
    <cfRule type="cellIs" dxfId="33" priority="17" operator="equal">
      <formula>TODAY()</formula>
    </cfRule>
  </conditionalFormatting>
  <conditionalFormatting sqref="T2:U32">
    <cfRule type="cellIs" dxfId="32" priority="16" operator="equal">
      <formula>TODAY()</formula>
    </cfRule>
  </conditionalFormatting>
  <conditionalFormatting sqref="Y2:Y32">
    <cfRule type="cellIs" dxfId="31" priority="15" operator="equal">
      <formula>TODAY()</formula>
    </cfRule>
  </conditionalFormatting>
  <conditionalFormatting sqref="AB2:AC32">
    <cfRule type="cellIs" dxfId="30" priority="14" operator="equal">
      <formula>TODAY()</formula>
    </cfRule>
  </conditionalFormatting>
  <conditionalFormatting sqref="AG2:AG32">
    <cfRule type="cellIs" dxfId="29" priority="12" operator="equal">
      <formula>TODAY()</formula>
    </cfRule>
  </conditionalFormatting>
  <conditionalFormatting sqref="AK2:AL32">
    <cfRule type="cellIs" dxfId="28" priority="11" operator="equal">
      <formula>TODAY()</formula>
    </cfRule>
  </conditionalFormatting>
  <conditionalFormatting sqref="AP2:AP32">
    <cfRule type="cellIs" dxfId="27" priority="8" operator="equal">
      <formula>TODAY()</formula>
    </cfRule>
  </conditionalFormatting>
  <conditionalFormatting sqref="AT2:AU32">
    <cfRule type="cellIs" dxfId="26" priority="7" operator="equal">
      <formula>TODAY()</formula>
    </cfRule>
  </conditionalFormatting>
  <conditionalFormatting sqref="AY2:AY32">
    <cfRule type="cellIs" dxfId="25" priority="4" operator="equal">
      <formula>TODAY()</formula>
    </cfRule>
  </conditionalFormatting>
  <conditionalFormatting sqref="BC2:BD32">
    <cfRule type="cellIs" dxfId="24" priority="3" operator="equal">
      <formula>TODAY()</formula>
    </cfRule>
  </conditionalFormatting>
  <conditionalFormatting sqref="BH2:BH32">
    <cfRule type="cellIs" dxfId="23" priority="2" operator="equal">
      <formula>TODAY()</formula>
    </cfRule>
  </conditionalFormatting>
  <hyperlinks>
    <hyperlink ref="BG39" r:id="rId1" xr:uid="{CC2E658A-175B-4C5A-8C01-FEA4BEDDBE05}"/>
  </hyperlinks>
  <pageMargins left="0.7" right="0.7" top="0.75" bottom="0.75" header="0.3" footer="0.3"/>
  <pageSetup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E1E5-350E-4913-B477-82A6EB1F1DF3}">
  <dimension ref="A1:E13"/>
  <sheetViews>
    <sheetView workbookViewId="0">
      <selection activeCell="B8" sqref="B8"/>
    </sheetView>
  </sheetViews>
  <sheetFormatPr defaultRowHeight="15" x14ac:dyDescent="0.25"/>
  <sheetData>
    <row r="1" spans="1:5" x14ac:dyDescent="0.25">
      <c r="A1" s="17" t="s">
        <v>18</v>
      </c>
      <c r="B1" s="17">
        <f>SUM(B2:B13)</f>
        <v>50032</v>
      </c>
      <c r="D1" s="1" t="s">
        <v>0</v>
      </c>
      <c r="E1" s="1">
        <f xml:space="preserve"> 50000 - B1</f>
        <v>-32</v>
      </c>
    </row>
    <row r="2" spans="1:5" x14ac:dyDescent="0.25">
      <c r="A2" s="129">
        <v>45017</v>
      </c>
      <c r="B2" s="1">
        <v>4200</v>
      </c>
      <c r="D2" s="1"/>
      <c r="E2" s="1">
        <f>E1/6</f>
        <v>-5.333333333333333</v>
      </c>
    </row>
    <row r="3" spans="1:5" x14ac:dyDescent="0.25">
      <c r="A3" s="129">
        <v>45047</v>
      </c>
      <c r="B3" s="1"/>
    </row>
    <row r="4" spans="1:5" x14ac:dyDescent="0.25">
      <c r="A4" s="129">
        <v>45078</v>
      </c>
      <c r="B4" s="1">
        <v>8332</v>
      </c>
    </row>
    <row r="5" spans="1:5" x14ac:dyDescent="0.25">
      <c r="A5" s="129">
        <v>45108</v>
      </c>
      <c r="B5" s="1"/>
    </row>
    <row r="6" spans="1:5" x14ac:dyDescent="0.25">
      <c r="A6" s="129">
        <v>45139</v>
      </c>
      <c r="B6" s="1"/>
    </row>
    <row r="7" spans="1:5" x14ac:dyDescent="0.25">
      <c r="A7" s="129">
        <v>45170</v>
      </c>
      <c r="B7" s="1">
        <v>12500</v>
      </c>
    </row>
    <row r="8" spans="1:5" x14ac:dyDescent="0.25">
      <c r="A8" s="129">
        <v>45200</v>
      </c>
      <c r="B8" s="499"/>
    </row>
    <row r="9" spans="1:5" x14ac:dyDescent="0.25">
      <c r="A9" s="129">
        <v>45231</v>
      </c>
      <c r="B9" s="1"/>
    </row>
    <row r="10" spans="1:5" x14ac:dyDescent="0.25">
      <c r="A10" s="129">
        <v>45261</v>
      </c>
      <c r="B10" s="1">
        <v>25000</v>
      </c>
    </row>
    <row r="11" spans="1:5" x14ac:dyDescent="0.25">
      <c r="A11" s="129">
        <v>45292</v>
      </c>
      <c r="B11" s="499"/>
    </row>
    <row r="12" spans="1:5" x14ac:dyDescent="0.25">
      <c r="A12" s="129">
        <v>45323</v>
      </c>
      <c r="B12" s="1"/>
    </row>
    <row r="13" spans="1:5" x14ac:dyDescent="0.25">
      <c r="A13" s="129">
        <v>45352</v>
      </c>
      <c r="B13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3077-9953-4E3C-B02F-7B4317D29A7B}">
  <dimension ref="A1:AI17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3" sqref="K23"/>
    </sheetView>
  </sheetViews>
  <sheetFormatPr defaultColWidth="9.140625" defaultRowHeight="12.75" x14ac:dyDescent="0.2"/>
  <cols>
    <col min="1" max="1" width="18.28515625" style="54" bestFit="1" customWidth="1"/>
    <col min="2" max="2" width="13.7109375" style="54" bestFit="1" customWidth="1"/>
    <col min="3" max="3" width="19.7109375" style="54" customWidth="1"/>
    <col min="4" max="4" width="8.28515625" style="54" customWidth="1"/>
    <col min="5" max="5" width="20.42578125" style="54" customWidth="1"/>
    <col min="6" max="6" width="10.5703125" style="54" customWidth="1"/>
    <col min="7" max="7" width="10" style="278" bestFit="1" customWidth="1"/>
    <col min="8" max="8" width="16" style="54" customWidth="1"/>
    <col min="9" max="9" width="10.140625" style="54" bestFit="1" customWidth="1"/>
    <col min="10" max="10" width="14.85546875" style="54" customWidth="1"/>
    <col min="11" max="11" width="12.42578125" style="54" bestFit="1" customWidth="1"/>
    <col min="12" max="12" width="11.28515625" style="54" bestFit="1" customWidth="1"/>
    <col min="13" max="13" width="14.85546875" style="54" customWidth="1"/>
    <col min="14" max="15" width="11.28515625" style="54" bestFit="1" customWidth="1"/>
    <col min="16" max="16" width="10.140625" style="54" bestFit="1" customWidth="1"/>
    <col min="17" max="19" width="12.5703125" style="54" customWidth="1"/>
    <col min="20" max="20" width="17.85546875" style="54" customWidth="1"/>
    <col min="21" max="21" width="12.5703125" style="54" customWidth="1"/>
    <col min="22" max="22" width="12" style="54" bestFit="1" customWidth="1"/>
    <col min="23" max="23" width="9.7109375" style="54" bestFit="1" customWidth="1"/>
    <col min="24" max="26" width="9.140625" style="54" customWidth="1"/>
    <col min="27" max="27" width="14.28515625" style="54" bestFit="1" customWidth="1"/>
    <col min="28" max="28" width="8.140625" style="54" bestFit="1" customWidth="1"/>
    <col min="29" max="29" width="10.5703125" style="54" bestFit="1" customWidth="1"/>
    <col min="30" max="30" width="8.140625" style="54" bestFit="1" customWidth="1"/>
    <col min="31" max="31" width="10.28515625" style="54" bestFit="1" customWidth="1"/>
    <col min="32" max="32" width="7.140625" style="54" bestFit="1" customWidth="1"/>
    <col min="33" max="33" width="9.140625" style="54"/>
    <col min="34" max="34" width="8.140625" style="54" bestFit="1" customWidth="1"/>
    <col min="35" max="35" width="18.28515625" style="54" bestFit="1" customWidth="1"/>
    <col min="36" max="36" width="8.140625" style="54" bestFit="1" customWidth="1"/>
    <col min="37" max="37" width="7.140625" style="54" bestFit="1" customWidth="1"/>
    <col min="38" max="16384" width="9.140625" style="54"/>
  </cols>
  <sheetData>
    <row r="1" spans="1:35" ht="25.5" x14ac:dyDescent="0.2">
      <c r="A1" s="247" t="s">
        <v>311</v>
      </c>
      <c r="B1" s="247" t="s">
        <v>481</v>
      </c>
      <c r="C1" s="247" t="s">
        <v>482</v>
      </c>
      <c r="D1" s="247" t="s">
        <v>483</v>
      </c>
      <c r="E1" s="247" t="s">
        <v>484</v>
      </c>
      <c r="F1" s="247" t="s">
        <v>485</v>
      </c>
      <c r="G1" s="248" t="s">
        <v>486</v>
      </c>
      <c r="H1" s="247" t="s">
        <v>487</v>
      </c>
      <c r="I1" s="247" t="s">
        <v>488</v>
      </c>
      <c r="J1" s="247" t="s">
        <v>489</v>
      </c>
      <c r="K1" s="247" t="s">
        <v>490</v>
      </c>
      <c r="L1" s="247" t="s">
        <v>491</v>
      </c>
      <c r="M1" s="247" t="s">
        <v>492</v>
      </c>
      <c r="N1" s="247" t="s">
        <v>493</v>
      </c>
      <c r="O1" s="247" t="s">
        <v>328</v>
      </c>
      <c r="P1" s="247" t="s">
        <v>494</v>
      </c>
      <c r="Q1" s="249" t="s">
        <v>495</v>
      </c>
      <c r="R1" s="247" t="s">
        <v>496</v>
      </c>
      <c r="S1" s="247" t="s">
        <v>497</v>
      </c>
      <c r="T1" s="250" t="s">
        <v>498</v>
      </c>
      <c r="U1" s="250" t="s">
        <v>499</v>
      </c>
      <c r="V1" s="250" t="s">
        <v>500</v>
      </c>
      <c r="W1" s="251"/>
    </row>
    <row r="2" spans="1:35" x14ac:dyDescent="0.2">
      <c r="A2" s="252" t="s">
        <v>317</v>
      </c>
      <c r="B2" s="253" t="s">
        <v>501</v>
      </c>
      <c r="C2" s="253" t="s">
        <v>502</v>
      </c>
      <c r="D2" s="254" t="s">
        <v>503</v>
      </c>
      <c r="E2" s="254" t="s">
        <v>504</v>
      </c>
      <c r="F2" s="255">
        <v>672</v>
      </c>
      <c r="G2" s="255">
        <v>500</v>
      </c>
      <c r="H2" s="256">
        <v>17</v>
      </c>
      <c r="I2" s="257"/>
      <c r="J2" s="258">
        <v>903000</v>
      </c>
      <c r="K2" s="259">
        <v>861983.06</v>
      </c>
      <c r="L2" s="260"/>
      <c r="M2" s="258">
        <f>J2-K2</f>
        <v>41016.939999999944</v>
      </c>
      <c r="N2" s="261">
        <v>0</v>
      </c>
      <c r="O2" s="502">
        <v>45661</v>
      </c>
      <c r="P2" s="262">
        <v>45629</v>
      </c>
      <c r="Q2" s="263">
        <f t="shared" ref="Q2:Q6" si="0">M2-N2</f>
        <v>41016.939999999944</v>
      </c>
      <c r="R2" s="519"/>
      <c r="S2" s="498"/>
      <c r="T2" s="498"/>
      <c r="U2" s="498"/>
      <c r="V2" s="498"/>
      <c r="W2" s="258">
        <f>J2-K2</f>
        <v>41016.939999999944</v>
      </c>
      <c r="AA2" s="55" t="s">
        <v>317</v>
      </c>
      <c r="AB2" s="12">
        <f>SUM(AB3:AB14)</f>
        <v>51440.350000000006</v>
      </c>
      <c r="AH2" s="54" t="s">
        <v>330</v>
      </c>
      <c r="AI2" s="54" t="s">
        <v>505</v>
      </c>
    </row>
    <row r="3" spans="1:35" x14ac:dyDescent="0.2">
      <c r="A3" s="264" t="s">
        <v>506</v>
      </c>
      <c r="B3" s="253" t="s">
        <v>501</v>
      </c>
      <c r="C3" s="253" t="s">
        <v>507</v>
      </c>
      <c r="D3" s="254"/>
      <c r="E3" s="254" t="s">
        <v>508</v>
      </c>
      <c r="F3" s="265">
        <v>782</v>
      </c>
      <c r="G3" s="255">
        <v>0</v>
      </c>
      <c r="H3" s="256">
        <v>13</v>
      </c>
      <c r="I3" s="257">
        <v>3096</v>
      </c>
      <c r="J3" s="258">
        <v>1500000</v>
      </c>
      <c r="K3" s="259">
        <v>1500000</v>
      </c>
      <c r="L3" s="260"/>
      <c r="M3" s="258">
        <f>J3-K3</f>
        <v>0</v>
      </c>
      <c r="N3" s="261">
        <v>0</v>
      </c>
      <c r="O3" s="501" t="s">
        <v>340</v>
      </c>
      <c r="P3" s="262">
        <v>45629</v>
      </c>
      <c r="Q3" s="263">
        <f>M3-N3</f>
        <v>0</v>
      </c>
      <c r="R3" s="519"/>
      <c r="S3" s="498"/>
      <c r="T3" s="498"/>
      <c r="U3" s="498"/>
      <c r="V3" s="498"/>
      <c r="W3" s="258"/>
      <c r="AA3" s="12" t="s">
        <v>509</v>
      </c>
      <c r="AB3" s="12">
        <v>7027</v>
      </c>
      <c r="AH3" s="624"/>
      <c r="AI3" s="54">
        <v>640</v>
      </c>
    </row>
    <row r="4" spans="1:35" x14ac:dyDescent="0.2">
      <c r="A4" s="252" t="s">
        <v>510</v>
      </c>
      <c r="B4" s="12" t="s">
        <v>501</v>
      </c>
      <c r="C4" s="12" t="s">
        <v>511</v>
      </c>
      <c r="D4" s="266" t="s">
        <v>512</v>
      </c>
      <c r="E4" s="266" t="s">
        <v>513</v>
      </c>
      <c r="F4" s="267">
        <v>469</v>
      </c>
      <c r="G4" s="267">
        <v>0</v>
      </c>
      <c r="H4" s="12">
        <v>17</v>
      </c>
      <c r="I4" s="257"/>
      <c r="J4" s="268">
        <v>1500000</v>
      </c>
      <c r="K4" s="269">
        <v>1467375.19</v>
      </c>
      <c r="L4" s="270">
        <f>J4*5/100</f>
        <v>75000</v>
      </c>
      <c r="M4" s="258">
        <f t="shared" ref="M4:M6" si="1">J4-K4</f>
        <v>32624.810000000056</v>
      </c>
      <c r="N4" s="261">
        <v>796.09</v>
      </c>
      <c r="O4" s="501">
        <v>45646</v>
      </c>
      <c r="P4" s="262">
        <v>45629</v>
      </c>
      <c r="Q4" s="263">
        <f t="shared" si="0"/>
        <v>31828.720000000056</v>
      </c>
      <c r="R4" s="519"/>
      <c r="S4" s="498"/>
      <c r="T4" s="498"/>
      <c r="U4" s="498"/>
      <c r="V4" s="498"/>
      <c r="W4" s="258">
        <f t="shared" ref="W4:W7" si="2">J4-K4</f>
        <v>32624.810000000056</v>
      </c>
      <c r="AA4" s="12" t="s">
        <v>248</v>
      </c>
      <c r="AB4" s="12"/>
      <c r="AH4" s="624"/>
      <c r="AI4" s="54">
        <v>74.58</v>
      </c>
    </row>
    <row r="5" spans="1:35" x14ac:dyDescent="0.2">
      <c r="A5" s="516" t="s">
        <v>514</v>
      </c>
      <c r="B5" s="268" t="s">
        <v>501</v>
      </c>
      <c r="C5" s="268" t="s">
        <v>515</v>
      </c>
      <c r="D5" s="268"/>
      <c r="E5" s="268" t="s">
        <v>516</v>
      </c>
      <c r="F5" s="267">
        <v>444</v>
      </c>
      <c r="G5" s="517"/>
      <c r="H5" s="268"/>
      <c r="I5" s="268"/>
      <c r="J5" s="268">
        <v>250000</v>
      </c>
      <c r="K5" s="269">
        <v>105950.51</v>
      </c>
      <c r="L5" s="270"/>
      <c r="M5" s="258">
        <f t="shared" si="1"/>
        <v>144049.49</v>
      </c>
      <c r="N5" s="258">
        <v>32812.620000000003</v>
      </c>
      <c r="O5" s="501">
        <v>45639</v>
      </c>
      <c r="P5" s="262">
        <v>45629</v>
      </c>
      <c r="Q5" s="263">
        <f t="shared" si="0"/>
        <v>111236.87</v>
      </c>
      <c r="R5" s="519"/>
      <c r="S5" s="498"/>
      <c r="T5" s="498"/>
      <c r="U5" s="498"/>
      <c r="V5" s="498"/>
      <c r="W5" s="258">
        <f t="shared" si="2"/>
        <v>144049.49</v>
      </c>
      <c r="AA5" s="12" t="s">
        <v>517</v>
      </c>
      <c r="AB5" s="12">
        <v>17524.55</v>
      </c>
      <c r="AH5" s="624"/>
      <c r="AI5" s="54">
        <v>13.42</v>
      </c>
    </row>
    <row r="6" spans="1:35" x14ac:dyDescent="0.2">
      <c r="A6" s="252" t="s">
        <v>518</v>
      </c>
      <c r="B6" s="12" t="s">
        <v>519</v>
      </c>
      <c r="C6" s="12" t="s">
        <v>520</v>
      </c>
      <c r="D6" s="266" t="s">
        <v>521</v>
      </c>
      <c r="E6" s="266" t="s">
        <v>522</v>
      </c>
      <c r="F6" s="257">
        <v>602</v>
      </c>
      <c r="G6" s="272" t="s">
        <v>523</v>
      </c>
      <c r="H6" s="257">
        <v>10</v>
      </c>
      <c r="I6" s="257">
        <v>805</v>
      </c>
      <c r="J6" s="268">
        <v>330000</v>
      </c>
      <c r="K6" s="269">
        <v>287909.43</v>
      </c>
      <c r="L6" s="270">
        <v>0</v>
      </c>
      <c r="M6" s="258">
        <f t="shared" si="1"/>
        <v>42090.570000000007</v>
      </c>
      <c r="N6" s="59">
        <v>0</v>
      </c>
      <c r="O6" s="502">
        <v>45656</v>
      </c>
      <c r="P6" s="262">
        <v>45629</v>
      </c>
      <c r="Q6" s="263">
        <f t="shared" si="0"/>
        <v>42090.570000000007</v>
      </c>
      <c r="R6" s="519"/>
      <c r="S6" s="498"/>
      <c r="T6" s="498"/>
      <c r="U6" s="498"/>
      <c r="V6" s="498"/>
      <c r="W6" s="258">
        <f t="shared" si="2"/>
        <v>42090.570000000007</v>
      </c>
      <c r="AA6" s="12" t="s">
        <v>524</v>
      </c>
      <c r="AB6" s="12">
        <v>8600</v>
      </c>
      <c r="AH6" s="624"/>
      <c r="AI6" s="54">
        <v>764.15</v>
      </c>
    </row>
    <row r="7" spans="1:35" x14ac:dyDescent="0.2">
      <c r="A7" s="252" t="s">
        <v>1543</v>
      </c>
      <c r="B7" s="12" t="s">
        <v>501</v>
      </c>
      <c r="C7" s="12" t="s">
        <v>1544</v>
      </c>
      <c r="D7" s="266"/>
      <c r="E7" s="266" t="s">
        <v>1545</v>
      </c>
      <c r="F7" s="257">
        <v>366</v>
      </c>
      <c r="G7" s="543"/>
      <c r="H7" s="544">
        <v>14</v>
      </c>
      <c r="I7" s="544"/>
      <c r="J7" s="472">
        <v>171000</v>
      </c>
      <c r="K7" s="545">
        <v>166962.78</v>
      </c>
      <c r="L7" s="270">
        <v>1</v>
      </c>
      <c r="M7" s="258">
        <f t="shared" ref="M7" si="3">J7-K7</f>
        <v>4037.2200000000012</v>
      </c>
      <c r="N7" s="59">
        <v>0</v>
      </c>
      <c r="O7" s="502">
        <v>45661</v>
      </c>
      <c r="P7" s="262">
        <v>45629</v>
      </c>
      <c r="Q7" s="263">
        <f t="shared" ref="Q7" si="4">M7-N7</f>
        <v>4037.2200000000012</v>
      </c>
      <c r="R7" s="546"/>
      <c r="S7" s="547"/>
      <c r="T7" s="547"/>
      <c r="U7" s="547"/>
      <c r="V7" s="547"/>
      <c r="W7" s="548">
        <f t="shared" si="2"/>
        <v>4037.2200000000012</v>
      </c>
      <c r="AA7" s="12"/>
      <c r="AB7" s="12"/>
      <c r="AH7" s="624"/>
    </row>
    <row r="8" spans="1:35" ht="15" customHeight="1" x14ac:dyDescent="0.2">
      <c r="A8" s="273" t="s">
        <v>525</v>
      </c>
      <c r="B8" s="273" t="s">
        <v>501</v>
      </c>
      <c r="C8" s="274" t="s">
        <v>526</v>
      </c>
      <c r="D8" s="275"/>
      <c r="E8" s="275" t="s">
        <v>527</v>
      </c>
      <c r="F8" s="470">
        <v>473</v>
      </c>
      <c r="G8" s="471"/>
      <c r="H8" s="472"/>
      <c r="I8" s="472"/>
      <c r="J8" s="472"/>
      <c r="K8" s="472">
        <v>-298364.34000000003</v>
      </c>
      <c r="L8" s="472"/>
      <c r="M8" s="472"/>
      <c r="N8" s="472"/>
      <c r="O8" s="472"/>
      <c r="P8" s="472"/>
      <c r="Q8" s="473"/>
      <c r="R8" s="271"/>
      <c r="S8" s="271"/>
      <c r="T8" s="271"/>
      <c r="U8" s="271"/>
      <c r="AA8" s="12" t="s">
        <v>528</v>
      </c>
      <c r="AB8" s="12">
        <v>929.8</v>
      </c>
      <c r="AH8" s="624"/>
      <c r="AI8" s="54">
        <v>885</v>
      </c>
    </row>
    <row r="9" spans="1:35" x14ac:dyDescent="0.2">
      <c r="A9" s="273" t="s">
        <v>529</v>
      </c>
      <c r="B9" s="273" t="s">
        <v>501</v>
      </c>
      <c r="C9" s="274" t="s">
        <v>530</v>
      </c>
      <c r="D9" s="275" t="s">
        <v>531</v>
      </c>
      <c r="E9" s="275" t="s">
        <v>532</v>
      </c>
      <c r="F9" s="274">
        <v>541</v>
      </c>
      <c r="G9" s="474"/>
      <c r="H9" s="271"/>
      <c r="I9" s="271"/>
      <c r="J9" s="271"/>
      <c r="K9" s="271"/>
      <c r="L9" s="271"/>
      <c r="M9" s="271"/>
      <c r="N9" s="271"/>
      <c r="O9" s="271"/>
      <c r="P9" s="271"/>
      <c r="Q9" s="475"/>
      <c r="R9" s="271"/>
      <c r="S9" s="271"/>
      <c r="T9" s="271"/>
      <c r="U9" s="271"/>
      <c r="AA9" s="12" t="s">
        <v>533</v>
      </c>
      <c r="AB9" s="12">
        <v>3359</v>
      </c>
      <c r="AH9" s="624"/>
      <c r="AI9" s="54">
        <v>7605</v>
      </c>
    </row>
    <row r="10" spans="1:35" x14ac:dyDescent="0.2">
      <c r="A10" s="273" t="s">
        <v>534</v>
      </c>
      <c r="B10" s="273" t="s">
        <v>501</v>
      </c>
      <c r="C10" s="274" t="s">
        <v>535</v>
      </c>
      <c r="D10" s="275"/>
      <c r="E10" s="275" t="s">
        <v>536</v>
      </c>
      <c r="F10" s="274">
        <v>940</v>
      </c>
      <c r="G10" s="474"/>
      <c r="H10" s="271"/>
      <c r="I10" s="271"/>
      <c r="J10" s="271"/>
      <c r="K10" s="271"/>
      <c r="L10" s="271"/>
      <c r="M10" s="271"/>
      <c r="N10" s="271"/>
      <c r="O10" s="271"/>
      <c r="P10" s="271"/>
      <c r="Q10" s="475"/>
      <c r="R10" s="271"/>
      <c r="S10" s="271"/>
      <c r="T10" s="271"/>
      <c r="U10" s="271"/>
      <c r="AA10" s="12" t="s">
        <v>537</v>
      </c>
      <c r="AB10" s="12">
        <v>14000</v>
      </c>
      <c r="AH10" s="624"/>
      <c r="AI10" s="54">
        <v>225</v>
      </c>
    </row>
    <row r="11" spans="1:35" x14ac:dyDescent="0.2">
      <c r="A11" s="273" t="s">
        <v>538</v>
      </c>
      <c r="B11" s="273" t="s">
        <v>539</v>
      </c>
      <c r="C11" s="274" t="s">
        <v>540</v>
      </c>
      <c r="D11" s="275"/>
      <c r="E11" s="275" t="s">
        <v>541</v>
      </c>
      <c r="F11" s="274">
        <v>965</v>
      </c>
      <c r="G11" s="476"/>
      <c r="H11" s="477"/>
      <c r="I11" s="477"/>
      <c r="J11" s="477"/>
      <c r="K11" s="477"/>
      <c r="L11" s="477"/>
      <c r="M11" s="477"/>
      <c r="N11" s="477"/>
      <c r="O11" s="477"/>
      <c r="P11" s="477"/>
      <c r="Q11" s="478"/>
      <c r="R11" s="271"/>
      <c r="S11" s="271"/>
      <c r="T11" s="271"/>
      <c r="U11" s="271"/>
      <c r="AA11" s="12"/>
      <c r="AB11" s="12"/>
      <c r="AH11" s="624"/>
      <c r="AI11" s="54">
        <v>744</v>
      </c>
    </row>
    <row r="12" spans="1:35" ht="12.75" customHeight="1" x14ac:dyDescent="0.2">
      <c r="A12" s="276"/>
      <c r="D12" s="277"/>
      <c r="E12" s="277"/>
      <c r="K12" s="279"/>
      <c r="L12" s="279" t="s">
        <v>542</v>
      </c>
      <c r="M12" s="280">
        <f>SUM(M2:M6)</f>
        <v>259781.81</v>
      </c>
      <c r="N12" s="280">
        <f>SUM(N2:N6)</f>
        <v>33608.71</v>
      </c>
      <c r="O12" s="271"/>
      <c r="P12" s="271"/>
      <c r="Q12" s="281">
        <f>SUM(Q2:Q6)</f>
        <v>226173.1</v>
      </c>
      <c r="R12" s="285"/>
      <c r="S12" s="285"/>
      <c r="T12" s="285"/>
      <c r="U12" s="285"/>
      <c r="AA12" s="12"/>
      <c r="AB12" s="12"/>
      <c r="AH12" s="624"/>
      <c r="AI12" s="54">
        <v>290</v>
      </c>
    </row>
    <row r="13" spans="1:35" x14ac:dyDescent="0.2">
      <c r="A13" s="633" t="s">
        <v>543</v>
      </c>
      <c r="B13" s="635" t="s">
        <v>544</v>
      </c>
      <c r="C13" s="635"/>
      <c r="D13" s="635"/>
      <c r="I13" s="630" t="s">
        <v>545</v>
      </c>
      <c r="J13" s="630"/>
      <c r="K13" s="630"/>
      <c r="L13" s="282">
        <f>SUM(L3:L4)</f>
        <v>75000</v>
      </c>
      <c r="O13" s="626" t="s">
        <v>546</v>
      </c>
      <c r="P13" s="626"/>
      <c r="Q13" s="59">
        <v>0</v>
      </c>
      <c r="R13" s="61"/>
      <c r="S13" s="61"/>
      <c r="T13" s="61"/>
      <c r="U13" s="61"/>
      <c r="AA13" s="12"/>
      <c r="AB13" s="12"/>
      <c r="AH13" s="624"/>
      <c r="AI13" s="54">
        <v>11200</v>
      </c>
    </row>
    <row r="14" spans="1:35" x14ac:dyDescent="0.2">
      <c r="A14" s="634"/>
      <c r="B14" s="635"/>
      <c r="C14" s="635"/>
      <c r="D14" s="635"/>
      <c r="E14" s="277"/>
      <c r="O14" s="627"/>
      <c r="P14" s="627"/>
      <c r="Q14" s="59"/>
      <c r="R14" s="61"/>
      <c r="S14" s="61"/>
      <c r="T14" s="61"/>
      <c r="U14" s="61"/>
      <c r="AA14" s="12"/>
      <c r="AB14" s="12"/>
      <c r="AH14" s="624"/>
      <c r="AI14" s="54">
        <v>1479</v>
      </c>
    </row>
    <row r="15" spans="1:35" x14ac:dyDescent="0.2">
      <c r="E15" s="277"/>
      <c r="I15" s="271"/>
      <c r="J15" s="271"/>
      <c r="K15" s="271"/>
      <c r="L15" s="271"/>
      <c r="M15" s="271"/>
      <c r="N15" s="271"/>
      <c r="O15" s="628"/>
      <c r="P15" s="628"/>
      <c r="Q15" s="268"/>
      <c r="R15" s="271"/>
      <c r="S15" s="271"/>
      <c r="T15" s="271"/>
      <c r="U15" s="271"/>
      <c r="AH15" s="624"/>
      <c r="AI15" s="54">
        <v>199</v>
      </c>
    </row>
    <row r="16" spans="1:35" ht="13.5" thickBot="1" x14ac:dyDescent="0.25">
      <c r="A16" s="283"/>
      <c r="B16" s="283"/>
      <c r="C16" s="283"/>
      <c r="D16" s="283"/>
      <c r="E16" s="283"/>
      <c r="F16" s="283"/>
      <c r="G16" s="284"/>
      <c r="H16" s="283"/>
      <c r="I16" s="283"/>
      <c r="J16" s="283"/>
      <c r="K16" s="285">
        <v>5238.91</v>
      </c>
      <c r="L16" s="271"/>
      <c r="M16" s="271"/>
      <c r="N16" s="271"/>
      <c r="O16" s="629" t="s">
        <v>547</v>
      </c>
      <c r="P16" s="629"/>
      <c r="Q16" s="280">
        <f>Q12-SUM(Q13:Q15)</f>
        <v>226173.1</v>
      </c>
      <c r="R16" s="280"/>
      <c r="S16" s="280"/>
      <c r="T16" s="280"/>
      <c r="U16" s="280"/>
      <c r="V16" s="73"/>
      <c r="W16" s="12"/>
      <c r="Y16" s="54">
        <v>31793.59</v>
      </c>
      <c r="AH16" s="624"/>
      <c r="AI16" s="54">
        <v>58</v>
      </c>
    </row>
    <row r="17" spans="1:35" x14ac:dyDescent="0.2">
      <c r="A17" s="449"/>
      <c r="B17" s="449"/>
      <c r="C17" s="639" t="s">
        <v>1526</v>
      </c>
      <c r="D17" s="640"/>
      <c r="E17" s="641"/>
      <c r="F17" s="61"/>
      <c r="G17" s="450"/>
      <c r="H17" s="469"/>
      <c r="I17" s="469"/>
      <c r="J17" s="469"/>
      <c r="K17" s="6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Y17" s="54">
        <v>-14050</v>
      </c>
      <c r="AH17" s="624"/>
      <c r="AI17" s="54">
        <v>800</v>
      </c>
    </row>
    <row r="18" spans="1:35" x14ac:dyDescent="0.2">
      <c r="A18" s="631" t="s">
        <v>548</v>
      </c>
      <c r="B18" s="631"/>
      <c r="C18" s="561" t="s">
        <v>1527</v>
      </c>
      <c r="D18" s="562">
        <v>45625</v>
      </c>
      <c r="E18" s="570" t="s">
        <v>1560</v>
      </c>
      <c r="F18" s="286"/>
      <c r="G18" s="451"/>
      <c r="H18" s="291"/>
      <c r="I18" s="61"/>
      <c r="L18" s="283"/>
      <c r="M18" s="283"/>
      <c r="N18" s="283"/>
      <c r="O18" s="283"/>
      <c r="P18" s="283"/>
      <c r="Q18" s="283"/>
      <c r="R18" s="283"/>
      <c r="S18" s="283"/>
      <c r="T18" s="283"/>
      <c r="U18" s="283"/>
      <c r="AH18" s="624"/>
      <c r="AI18" s="54">
        <v>630</v>
      </c>
    </row>
    <row r="19" spans="1:35" x14ac:dyDescent="0.2">
      <c r="A19" s="467">
        <v>43891</v>
      </c>
      <c r="B19" s="362">
        <v>346</v>
      </c>
      <c r="C19" s="561" t="s">
        <v>1528</v>
      </c>
      <c r="D19" s="562">
        <v>45625</v>
      </c>
      <c r="E19" s="570" t="s">
        <v>1560</v>
      </c>
      <c r="F19" s="288"/>
      <c r="G19" s="288"/>
      <c r="H19" s="291"/>
      <c r="I19" s="61"/>
      <c r="AH19" s="624"/>
      <c r="AI19" s="54">
        <v>1069</v>
      </c>
    </row>
    <row r="20" spans="1:35" x14ac:dyDescent="0.2">
      <c r="A20" s="467">
        <v>43922</v>
      </c>
      <c r="B20" s="362">
        <v>73</v>
      </c>
      <c r="C20" s="561" t="s">
        <v>1529</v>
      </c>
      <c r="D20" s="562">
        <v>45625</v>
      </c>
      <c r="E20" s="570" t="s">
        <v>1560</v>
      </c>
      <c r="F20" s="288"/>
      <c r="G20" s="288"/>
      <c r="H20" s="291"/>
      <c r="I20" s="61"/>
      <c r="K20" s="54">
        <v>14650.62</v>
      </c>
      <c r="AH20" s="624"/>
      <c r="AI20" s="54">
        <v>529</v>
      </c>
    </row>
    <row r="21" spans="1:35" x14ac:dyDescent="0.2">
      <c r="A21" s="467">
        <v>43952</v>
      </c>
      <c r="B21" s="362">
        <v>17</v>
      </c>
      <c r="C21" s="561" t="s">
        <v>1530</v>
      </c>
      <c r="D21" s="562">
        <v>45625</v>
      </c>
      <c r="E21" s="570" t="s">
        <v>1560</v>
      </c>
      <c r="G21" s="522"/>
      <c r="H21" s="559" t="s">
        <v>1553</v>
      </c>
      <c r="I21" s="51">
        <v>400127.97</v>
      </c>
      <c r="N21" s="271"/>
      <c r="AH21" s="54" t="s">
        <v>248</v>
      </c>
    </row>
    <row r="22" spans="1:35" x14ac:dyDescent="0.2">
      <c r="A22" s="467">
        <v>43983</v>
      </c>
      <c r="B22" s="362">
        <v>500</v>
      </c>
      <c r="C22" s="531" t="s">
        <v>1531</v>
      </c>
      <c r="D22" s="530">
        <v>45625</v>
      </c>
      <c r="E22" s="532" t="s">
        <v>1559</v>
      </c>
      <c r="G22" s="522"/>
      <c r="H22" s="291"/>
      <c r="I22" s="61"/>
      <c r="N22" s="271"/>
      <c r="V22" s="289"/>
      <c r="W22" s="289"/>
      <c r="Y22" s="54">
        <v>400000</v>
      </c>
      <c r="AC22" s="54">
        <v>1320000</v>
      </c>
    </row>
    <row r="23" spans="1:35" x14ac:dyDescent="0.2">
      <c r="A23" s="467">
        <v>44013</v>
      </c>
      <c r="B23" s="362">
        <v>485</v>
      </c>
      <c r="C23" s="531" t="s">
        <v>1532</v>
      </c>
      <c r="D23" s="530">
        <v>45625</v>
      </c>
      <c r="E23" s="532" t="s">
        <v>1559</v>
      </c>
      <c r="G23" s="522"/>
      <c r="H23" s="291"/>
      <c r="I23" s="61"/>
      <c r="L23" s="54">
        <v>56517.01</v>
      </c>
      <c r="N23" s="271"/>
      <c r="O23" s="625" t="s">
        <v>549</v>
      </c>
      <c r="P23" s="625"/>
      <c r="V23" s="289"/>
      <c r="Y23" s="54">
        <v>350023</v>
      </c>
      <c r="AC23" s="54">
        <v>1292962.3799999999</v>
      </c>
    </row>
    <row r="24" spans="1:35" x14ac:dyDescent="0.2">
      <c r="A24" s="467">
        <v>44044</v>
      </c>
      <c r="B24" s="362">
        <v>99</v>
      </c>
      <c r="C24" s="531" t="s">
        <v>1533</v>
      </c>
      <c r="D24" s="530">
        <v>45625</v>
      </c>
      <c r="E24" s="532" t="s">
        <v>1559</v>
      </c>
      <c r="H24" s="291"/>
      <c r="I24" s="61"/>
      <c r="L24" s="54">
        <v>-24466</v>
      </c>
      <c r="N24" s="283"/>
      <c r="O24" s="73" t="s">
        <v>248</v>
      </c>
      <c r="P24" s="380">
        <v>4343</v>
      </c>
      <c r="Q24" s="283"/>
      <c r="R24" s="283"/>
      <c r="S24" s="283"/>
      <c r="T24" s="283"/>
      <c r="U24" s="283"/>
      <c r="V24" s="283"/>
      <c r="W24" s="283"/>
      <c r="Y24" s="54">
        <f>Y22-Y23</f>
        <v>49977</v>
      </c>
      <c r="AC24" s="54">
        <f>AC22-AC23</f>
        <v>27037.620000000112</v>
      </c>
    </row>
    <row r="25" spans="1:35" x14ac:dyDescent="0.2">
      <c r="A25" s="467">
        <v>44075</v>
      </c>
      <c r="B25" s="362">
        <v>241</v>
      </c>
      <c r="C25" s="531" t="s">
        <v>1534</v>
      </c>
      <c r="D25" s="530">
        <v>45625</v>
      </c>
      <c r="E25" s="532" t="s">
        <v>1559</v>
      </c>
      <c r="H25" s="61"/>
      <c r="I25" s="61"/>
      <c r="N25" s="61"/>
      <c r="O25" s="51"/>
      <c r="P25" s="380"/>
      <c r="Q25" s="61"/>
      <c r="R25" s="61"/>
      <c r="S25" s="61"/>
      <c r="T25" s="61"/>
      <c r="U25" s="61"/>
      <c r="V25" s="61"/>
      <c r="W25" s="61"/>
      <c r="Y25" s="54">
        <v>-8827</v>
      </c>
      <c r="AC25" s="54">
        <v>-14650.62</v>
      </c>
    </row>
    <row r="26" spans="1:35" x14ac:dyDescent="0.2">
      <c r="A26" s="467">
        <v>44105</v>
      </c>
      <c r="B26" s="362">
        <v>274</v>
      </c>
      <c r="C26" s="531" t="s">
        <v>1535</v>
      </c>
      <c r="D26" s="530">
        <v>45625</v>
      </c>
      <c r="E26" s="570" t="s">
        <v>1560</v>
      </c>
      <c r="G26" s="493"/>
      <c r="H26" s="61"/>
      <c r="I26" s="61"/>
      <c r="N26" s="61"/>
      <c r="O26" s="51" t="s">
        <v>255</v>
      </c>
      <c r="P26" s="380">
        <v>4385</v>
      </c>
      <c r="Q26" s="61"/>
      <c r="R26" s="61"/>
      <c r="S26" s="61"/>
      <c r="T26" s="61"/>
      <c r="U26" s="61"/>
      <c r="V26" s="61"/>
      <c r="W26" s="61"/>
      <c r="Y26" s="54">
        <v>-5146</v>
      </c>
      <c r="AC26" s="54">
        <f>AC24+AC25</f>
        <v>12387.000000000111</v>
      </c>
    </row>
    <row r="27" spans="1:35" x14ac:dyDescent="0.2">
      <c r="A27" s="467">
        <v>44136</v>
      </c>
      <c r="B27" s="362">
        <v>645</v>
      </c>
      <c r="C27" s="565" t="s">
        <v>1536</v>
      </c>
      <c r="D27" s="566">
        <v>45625</v>
      </c>
      <c r="E27" s="567" t="s">
        <v>1561</v>
      </c>
      <c r="H27" s="291"/>
      <c r="I27" s="61"/>
      <c r="N27" s="61"/>
      <c r="O27" s="51" t="s">
        <v>550</v>
      </c>
      <c r="P27" s="380">
        <v>6008</v>
      </c>
      <c r="Q27" s="61"/>
      <c r="R27" s="61"/>
      <c r="S27" s="61"/>
      <c r="T27" s="61"/>
      <c r="U27" s="61"/>
      <c r="V27" s="61"/>
      <c r="W27" s="61"/>
    </row>
    <row r="28" spans="1:35" x14ac:dyDescent="0.2">
      <c r="A28" s="467">
        <v>44166</v>
      </c>
      <c r="B28" s="362">
        <v>591</v>
      </c>
      <c r="C28" s="565" t="s">
        <v>1537</v>
      </c>
      <c r="D28" s="566">
        <v>45625</v>
      </c>
      <c r="E28" s="567" t="s">
        <v>1561</v>
      </c>
      <c r="H28" s="291"/>
      <c r="I28" s="61"/>
      <c r="N28" s="61"/>
      <c r="O28" s="51"/>
      <c r="P28" s="380"/>
      <c r="Q28" s="61"/>
      <c r="R28" s="61"/>
      <c r="S28" s="61"/>
      <c r="T28" s="61"/>
      <c r="U28" s="61"/>
      <c r="V28" s="61"/>
      <c r="W28" s="290"/>
    </row>
    <row r="29" spans="1:35" x14ac:dyDescent="0.2">
      <c r="A29" s="467">
        <v>44197</v>
      </c>
      <c r="B29" s="362">
        <v>25</v>
      </c>
      <c r="C29" s="533" t="s">
        <v>1538</v>
      </c>
      <c r="D29" s="530">
        <v>45625</v>
      </c>
      <c r="E29" s="534" t="s">
        <v>1562</v>
      </c>
      <c r="G29" s="493"/>
      <c r="H29" s="291"/>
      <c r="I29" s="61"/>
      <c r="N29" s="283"/>
      <c r="O29" s="73"/>
      <c r="P29" s="380"/>
      <c r="Q29" s="283"/>
      <c r="R29" s="283"/>
      <c r="S29" s="283"/>
      <c r="T29" s="283"/>
      <c r="U29" s="283"/>
      <c r="V29" s="283"/>
      <c r="W29" s="283"/>
    </row>
    <row r="30" spans="1:35" x14ac:dyDescent="0.2">
      <c r="A30" s="467">
        <v>44228</v>
      </c>
      <c r="B30" s="362">
        <v>213</v>
      </c>
      <c r="C30" s="568" t="s">
        <v>1539</v>
      </c>
      <c r="D30" s="566">
        <v>45625</v>
      </c>
      <c r="E30" s="567" t="s">
        <v>1561</v>
      </c>
      <c r="H30" s="291"/>
      <c r="I30" s="61"/>
      <c r="N30" s="283"/>
      <c r="O30" s="283"/>
      <c r="P30" s="283"/>
      <c r="Q30" s="283"/>
      <c r="R30" s="283"/>
      <c r="S30" s="283"/>
      <c r="T30" s="283"/>
      <c r="U30" s="283"/>
      <c r="V30" s="283"/>
      <c r="W30" s="283"/>
    </row>
    <row r="31" spans="1:35" x14ac:dyDescent="0.2">
      <c r="A31" s="467">
        <v>44256</v>
      </c>
      <c r="B31" s="362">
        <v>102</v>
      </c>
      <c r="C31" s="536" t="s">
        <v>1540</v>
      </c>
      <c r="D31" s="530">
        <v>45625</v>
      </c>
      <c r="E31" s="535" t="s">
        <v>1562</v>
      </c>
      <c r="H31" s="291"/>
      <c r="I31" s="61"/>
      <c r="N31" s="61"/>
      <c r="O31" s="61"/>
      <c r="P31" s="61"/>
      <c r="Q31" s="61"/>
      <c r="R31" s="61"/>
      <c r="S31" s="61"/>
      <c r="T31" s="61"/>
      <c r="U31" s="61"/>
      <c r="V31" s="61"/>
      <c r="W31" s="61"/>
    </row>
    <row r="32" spans="1:35" x14ac:dyDescent="0.2">
      <c r="A32" s="467">
        <v>44287</v>
      </c>
      <c r="B32" s="362">
        <v>305</v>
      </c>
      <c r="C32" s="569" t="s">
        <v>1541</v>
      </c>
      <c r="D32" s="566">
        <v>45625</v>
      </c>
      <c r="E32" s="567" t="s">
        <v>1561</v>
      </c>
      <c r="H32" s="291"/>
      <c r="I32" s="61"/>
      <c r="N32" s="61"/>
      <c r="O32" s="61"/>
      <c r="P32" s="61"/>
      <c r="Q32" s="61"/>
      <c r="R32" s="61"/>
      <c r="S32" s="61"/>
      <c r="T32" s="61"/>
      <c r="U32" s="61"/>
      <c r="V32" s="61"/>
      <c r="W32" s="61"/>
    </row>
    <row r="33" spans="1:28" x14ac:dyDescent="0.2">
      <c r="A33" s="467">
        <v>44317</v>
      </c>
      <c r="B33" s="362">
        <v>67</v>
      </c>
      <c r="C33" s="536" t="s">
        <v>1542</v>
      </c>
      <c r="D33" s="530">
        <v>45625</v>
      </c>
      <c r="E33" s="535" t="s">
        <v>1562</v>
      </c>
      <c r="H33" s="291"/>
      <c r="I33" s="61"/>
      <c r="N33" s="61"/>
      <c r="O33" s="61"/>
      <c r="P33" s="61"/>
      <c r="Q33" s="61"/>
      <c r="R33" s="61"/>
      <c r="S33" s="61"/>
      <c r="T33" s="61"/>
      <c r="U33" s="61"/>
      <c r="V33" s="61"/>
      <c r="W33" s="61"/>
    </row>
    <row r="34" spans="1:28" x14ac:dyDescent="0.2">
      <c r="A34" s="467">
        <v>44348</v>
      </c>
      <c r="B34" s="362">
        <v>25</v>
      </c>
      <c r="C34" s="563" t="s">
        <v>1558</v>
      </c>
      <c r="D34" s="564">
        <v>45671</v>
      </c>
      <c r="E34" s="346"/>
      <c r="F34" s="452"/>
      <c r="G34" s="288"/>
      <c r="H34" s="291" t="s">
        <v>1522</v>
      </c>
      <c r="I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290"/>
    </row>
    <row r="35" spans="1:28" x14ac:dyDescent="0.2">
      <c r="A35" s="467">
        <v>44378</v>
      </c>
      <c r="B35" s="362">
        <v>233</v>
      </c>
      <c r="C35" s="563" t="s">
        <v>1554</v>
      </c>
      <c r="D35" s="564">
        <v>45671</v>
      </c>
      <c r="E35" s="537"/>
      <c r="F35" s="452"/>
      <c r="G35" s="288"/>
      <c r="H35" s="291" t="s">
        <v>303</v>
      </c>
      <c r="I35" s="61">
        <v>674061</v>
      </c>
      <c r="AB35" s="54">
        <v>588</v>
      </c>
    </row>
    <row r="36" spans="1:28" x14ac:dyDescent="0.2">
      <c r="A36" s="467">
        <v>44409</v>
      </c>
      <c r="B36" s="362">
        <v>268</v>
      </c>
      <c r="C36" s="563" t="s">
        <v>1555</v>
      </c>
      <c r="D36" s="564">
        <v>45671</v>
      </c>
      <c r="E36" s="537"/>
      <c r="H36" s="291"/>
      <c r="I36" s="61"/>
      <c r="N36" s="290"/>
      <c r="O36" s="290"/>
      <c r="P36" s="290"/>
      <c r="Q36" s="290"/>
      <c r="R36" s="290"/>
      <c r="S36" s="290"/>
      <c r="T36" s="290"/>
      <c r="U36" s="290"/>
      <c r="W36" s="290"/>
      <c r="AB36" s="54">
        <v>305</v>
      </c>
    </row>
    <row r="37" spans="1:28" x14ac:dyDescent="0.2">
      <c r="A37" s="467">
        <v>44440</v>
      </c>
      <c r="B37" s="362">
        <v>74</v>
      </c>
      <c r="C37" s="563" t="s">
        <v>1556</v>
      </c>
      <c r="D37" s="564">
        <v>45671</v>
      </c>
      <c r="E37" s="537"/>
      <c r="H37" s="291"/>
      <c r="I37" s="61"/>
      <c r="P37" s="271"/>
      <c r="AB37" s="54">
        <v>299</v>
      </c>
    </row>
    <row r="38" spans="1:28" x14ac:dyDescent="0.2">
      <c r="A38" s="467">
        <v>44470</v>
      </c>
      <c r="B38" s="362">
        <v>39</v>
      </c>
      <c r="C38" s="563" t="s">
        <v>1557</v>
      </c>
      <c r="D38" s="564">
        <v>45671</v>
      </c>
      <c r="E38" s="537"/>
      <c r="H38" s="291"/>
      <c r="I38" s="61"/>
      <c r="AB38" s="54">
        <v>2966</v>
      </c>
    </row>
    <row r="39" spans="1:28" x14ac:dyDescent="0.2">
      <c r="A39" s="467">
        <v>44501</v>
      </c>
      <c r="B39" s="362">
        <v>35</v>
      </c>
      <c r="C39" s="345"/>
      <c r="D39" s="59"/>
      <c r="E39" s="537"/>
      <c r="H39" s="291"/>
      <c r="I39" s="61"/>
      <c r="AB39" s="54">
        <v>898</v>
      </c>
    </row>
    <row r="40" spans="1:28" x14ac:dyDescent="0.2">
      <c r="A40" s="467">
        <v>44531</v>
      </c>
      <c r="B40" s="362">
        <v>493</v>
      </c>
      <c r="C40" s="345"/>
      <c r="D40" s="59"/>
      <c r="E40" s="537"/>
      <c r="H40" s="291"/>
      <c r="I40" s="61"/>
      <c r="P40" s="271"/>
    </row>
    <row r="41" spans="1:28" x14ac:dyDescent="0.2">
      <c r="A41" s="467">
        <v>44562</v>
      </c>
      <c r="B41" s="362">
        <v>36</v>
      </c>
      <c r="C41" s="345"/>
      <c r="D41" s="59"/>
      <c r="E41" s="537"/>
      <c r="H41" s="291"/>
      <c r="I41" s="61"/>
      <c r="P41" s="271"/>
    </row>
    <row r="42" spans="1:28" x14ac:dyDescent="0.2">
      <c r="A42" s="467">
        <v>44593</v>
      </c>
      <c r="B42" s="362">
        <v>341</v>
      </c>
      <c r="C42" s="345"/>
      <c r="D42" s="59"/>
      <c r="E42" s="537"/>
      <c r="H42" s="291"/>
      <c r="I42" s="61"/>
      <c r="P42" s="271"/>
    </row>
    <row r="43" spans="1:28" x14ac:dyDescent="0.2">
      <c r="A43" s="467">
        <v>44621</v>
      </c>
      <c r="B43" s="362">
        <v>202</v>
      </c>
      <c r="C43" s="345"/>
      <c r="D43" s="59"/>
      <c r="E43" s="537"/>
      <c r="F43" s="453"/>
      <c r="H43" s="291"/>
      <c r="I43" s="61"/>
      <c r="V43" s="54">
        <v>18602677777</v>
      </c>
    </row>
    <row r="44" spans="1:28" x14ac:dyDescent="0.2">
      <c r="A44" s="467">
        <v>44652</v>
      </c>
      <c r="B44" s="362">
        <v>108</v>
      </c>
      <c r="C44" s="345"/>
      <c r="D44" s="59"/>
      <c r="E44" s="537"/>
      <c r="H44" s="291"/>
      <c r="I44" s="61"/>
    </row>
    <row r="45" spans="1:28" x14ac:dyDescent="0.2">
      <c r="A45" s="467">
        <v>44682</v>
      </c>
      <c r="B45" s="362">
        <v>157</v>
      </c>
      <c r="C45" s="345"/>
      <c r="D45" s="59"/>
      <c r="E45" s="537"/>
      <c r="H45" s="291"/>
      <c r="I45" s="61"/>
    </row>
    <row r="46" spans="1:28" x14ac:dyDescent="0.2">
      <c r="A46" s="467">
        <v>44713</v>
      </c>
      <c r="B46" s="362">
        <v>97</v>
      </c>
      <c r="C46" s="345"/>
      <c r="D46" s="59"/>
      <c r="E46" s="537"/>
      <c r="G46" s="485" t="s">
        <v>551</v>
      </c>
      <c r="H46" s="485"/>
      <c r="I46" s="485"/>
      <c r="J46" s="485"/>
      <c r="K46" s="485"/>
      <c r="L46" s="485"/>
      <c r="M46" s="485"/>
      <c r="N46" s="484"/>
      <c r="O46" s="484"/>
      <c r="P46" s="484"/>
      <c r="Q46" s="484"/>
      <c r="R46" s="484"/>
      <c r="S46" s="484"/>
      <c r="T46" s="484"/>
      <c r="U46" s="484"/>
    </row>
    <row r="47" spans="1:28" ht="25.5" x14ac:dyDescent="0.2">
      <c r="A47" s="467">
        <v>44743</v>
      </c>
      <c r="B47" s="362">
        <v>278</v>
      </c>
      <c r="C47" s="345"/>
      <c r="D47" s="59"/>
      <c r="E47" s="537"/>
      <c r="G47" s="481" t="s">
        <v>552</v>
      </c>
      <c r="H47" s="482" t="s">
        <v>352</v>
      </c>
      <c r="I47" s="483" t="s">
        <v>553</v>
      </c>
      <c r="J47" s="483" t="s">
        <v>554</v>
      </c>
      <c r="K47" s="279" t="s">
        <v>555</v>
      </c>
      <c r="L47" s="279" t="s">
        <v>172</v>
      </c>
      <c r="M47" s="279" t="s">
        <v>556</v>
      </c>
    </row>
    <row r="48" spans="1:28" x14ac:dyDescent="0.2">
      <c r="A48" s="467">
        <v>44774</v>
      </c>
      <c r="B48" s="362">
        <v>31</v>
      </c>
      <c r="C48" s="536"/>
      <c r="D48" s="59"/>
      <c r="E48" s="538"/>
      <c r="F48" s="283"/>
      <c r="G48" s="490" t="s">
        <v>557</v>
      </c>
      <c r="H48" s="287">
        <v>50445</v>
      </c>
      <c r="I48" s="491">
        <v>44866</v>
      </c>
      <c r="J48" s="492">
        <v>6</v>
      </c>
      <c r="K48" s="492">
        <v>3</v>
      </c>
      <c r="L48" s="287">
        <v>8729.15</v>
      </c>
      <c r="M48" s="491">
        <v>45047</v>
      </c>
    </row>
    <row r="49" spans="1:22" x14ac:dyDescent="0.2">
      <c r="A49" s="467">
        <v>44805</v>
      </c>
      <c r="B49" s="362">
        <v>200</v>
      </c>
      <c r="C49" s="536"/>
      <c r="D49" s="12"/>
      <c r="E49" s="535"/>
      <c r="G49" s="267" t="s">
        <v>557</v>
      </c>
      <c r="H49" s="59">
        <v>25840</v>
      </c>
      <c r="I49" s="480">
        <v>44958</v>
      </c>
      <c r="J49" s="257">
        <v>6</v>
      </c>
      <c r="K49" s="257">
        <v>1</v>
      </c>
      <c r="L49" s="59">
        <v>4305.37</v>
      </c>
      <c r="M49" s="480">
        <v>45108</v>
      </c>
    </row>
    <row r="50" spans="1:22" x14ac:dyDescent="0.2">
      <c r="A50" s="467">
        <v>44835</v>
      </c>
      <c r="B50" s="362">
        <v>719</v>
      </c>
      <c r="C50" s="539"/>
      <c r="D50" s="73"/>
      <c r="E50" s="538"/>
      <c r="F50" s="454"/>
      <c r="G50" s="490" t="s">
        <v>558</v>
      </c>
      <c r="H50" s="287">
        <v>55193.51</v>
      </c>
      <c r="I50" s="491">
        <v>44682</v>
      </c>
      <c r="J50" s="492">
        <v>12</v>
      </c>
      <c r="K50" s="492">
        <v>2</v>
      </c>
      <c r="L50" s="287">
        <v>4903.88</v>
      </c>
      <c r="M50" s="491">
        <v>45047</v>
      </c>
      <c r="O50" s="291"/>
    </row>
    <row r="51" spans="1:22" x14ac:dyDescent="0.2">
      <c r="A51" s="467">
        <v>44866</v>
      </c>
      <c r="B51" s="362">
        <v>209</v>
      </c>
      <c r="C51" s="536"/>
      <c r="D51" s="12"/>
      <c r="E51" s="535"/>
      <c r="G51" s="267" t="s">
        <v>559</v>
      </c>
      <c r="H51" s="59">
        <v>150000</v>
      </c>
      <c r="I51" s="480">
        <v>44378</v>
      </c>
      <c r="J51" s="257">
        <v>36</v>
      </c>
      <c r="K51" s="257">
        <v>15</v>
      </c>
      <c r="L51" s="59">
        <v>5420</v>
      </c>
      <c r="M51" s="480">
        <v>45444</v>
      </c>
      <c r="N51" s="54">
        <f>L51*15</f>
        <v>81300</v>
      </c>
      <c r="P51" s="54">
        <v>4264.47</v>
      </c>
      <c r="Q51" s="54">
        <v>971.39</v>
      </c>
      <c r="V51" s="54">
        <v>174.85</v>
      </c>
    </row>
    <row r="52" spans="1:22" x14ac:dyDescent="0.2">
      <c r="A52" s="467">
        <v>44896</v>
      </c>
      <c r="B52" s="362">
        <v>108</v>
      </c>
      <c r="C52" s="536"/>
      <c r="D52" s="12"/>
      <c r="E52" s="535"/>
      <c r="G52" s="490" t="s">
        <v>559</v>
      </c>
      <c r="H52" s="287">
        <v>7651.99</v>
      </c>
      <c r="I52" s="491">
        <v>44927</v>
      </c>
      <c r="J52" s="492">
        <v>6</v>
      </c>
      <c r="K52" s="492">
        <v>3</v>
      </c>
      <c r="L52" s="287">
        <v>1344</v>
      </c>
      <c r="M52" s="491">
        <v>45078</v>
      </c>
      <c r="P52" s="54">
        <v>1267.1600000000001</v>
      </c>
      <c r="Q52" s="54">
        <v>64.510000000000005</v>
      </c>
      <c r="V52" s="54">
        <v>11.61</v>
      </c>
    </row>
    <row r="53" spans="1:22" x14ac:dyDescent="0.2">
      <c r="A53" s="467">
        <v>44927</v>
      </c>
      <c r="B53" s="362">
        <v>45</v>
      </c>
      <c r="C53" s="536"/>
      <c r="D53" s="12"/>
      <c r="E53" s="535"/>
      <c r="G53" s="490" t="s">
        <v>559</v>
      </c>
      <c r="H53" s="287">
        <v>7651.99</v>
      </c>
      <c r="I53" s="491">
        <v>44927</v>
      </c>
      <c r="J53" s="492">
        <v>6</v>
      </c>
      <c r="K53" s="492">
        <v>3</v>
      </c>
      <c r="L53" s="287">
        <v>1344</v>
      </c>
      <c r="M53" s="491">
        <v>45078</v>
      </c>
    </row>
    <row r="54" spans="1:22" x14ac:dyDescent="0.2">
      <c r="A54" s="467">
        <v>44958</v>
      </c>
      <c r="B54" s="362">
        <v>132</v>
      </c>
      <c r="C54" s="536"/>
      <c r="D54" s="12"/>
      <c r="E54" s="535"/>
      <c r="G54" s="267" t="s">
        <v>314</v>
      </c>
      <c r="H54" s="59"/>
      <c r="I54" s="480"/>
      <c r="J54" s="257"/>
      <c r="K54" s="257"/>
      <c r="L54" s="59"/>
      <c r="M54" s="480"/>
    </row>
    <row r="55" spans="1:22" x14ac:dyDescent="0.2">
      <c r="A55" s="467">
        <v>44986</v>
      </c>
      <c r="B55" s="362">
        <v>577</v>
      </c>
      <c r="C55" s="536"/>
      <c r="D55" s="12"/>
      <c r="E55" s="535"/>
      <c r="G55" s="267"/>
      <c r="H55" s="59"/>
      <c r="I55" s="480"/>
      <c r="J55" s="257"/>
      <c r="K55" s="257"/>
      <c r="L55" s="59"/>
      <c r="M55" s="480"/>
    </row>
    <row r="56" spans="1:22" x14ac:dyDescent="0.2">
      <c r="A56" s="467">
        <v>45017</v>
      </c>
      <c r="B56" s="362">
        <v>730</v>
      </c>
      <c r="C56" s="536"/>
      <c r="D56" s="12"/>
      <c r="E56" s="535"/>
      <c r="G56" s="267"/>
      <c r="H56" s="59"/>
      <c r="I56" s="480"/>
      <c r="J56" s="257"/>
      <c r="K56" s="257"/>
      <c r="L56" s="59"/>
      <c r="M56" s="480"/>
    </row>
    <row r="57" spans="1:22" x14ac:dyDescent="0.2">
      <c r="A57" s="467">
        <v>45047</v>
      </c>
      <c r="B57" s="362">
        <v>317</v>
      </c>
      <c r="C57" s="536"/>
      <c r="D57" s="12"/>
      <c r="E57" s="535"/>
      <c r="G57" s="267"/>
      <c r="H57" s="59"/>
      <c r="I57" s="480"/>
      <c r="J57" s="257"/>
      <c r="K57" s="257"/>
      <c r="L57" s="59"/>
      <c r="M57" s="480"/>
    </row>
    <row r="58" spans="1:22" x14ac:dyDescent="0.2">
      <c r="A58" s="467">
        <v>45078</v>
      </c>
      <c r="B58" s="362">
        <v>89</v>
      </c>
      <c r="C58" s="536"/>
      <c r="D58" s="12"/>
      <c r="E58" s="535"/>
      <c r="G58" s="267"/>
      <c r="H58" s="59"/>
      <c r="I58" s="480"/>
      <c r="J58" s="257"/>
      <c r="K58" s="257"/>
      <c r="L58" s="59"/>
      <c r="M58" s="480"/>
    </row>
    <row r="59" spans="1:22" ht="13.5" thickBot="1" x14ac:dyDescent="0.25">
      <c r="A59" s="467">
        <v>45108</v>
      </c>
      <c r="B59" s="362">
        <v>286</v>
      </c>
      <c r="C59" s="540"/>
      <c r="D59" s="541"/>
      <c r="E59" s="542"/>
      <c r="G59" s="267"/>
      <c r="H59" s="59"/>
      <c r="I59" s="480"/>
      <c r="J59" s="257"/>
      <c r="K59" s="257"/>
      <c r="L59" s="59"/>
      <c r="M59" s="480"/>
    </row>
    <row r="60" spans="1:22" x14ac:dyDescent="0.2">
      <c r="A60" s="467">
        <v>45139</v>
      </c>
      <c r="B60" s="59">
        <v>724</v>
      </c>
      <c r="G60" s="267"/>
      <c r="H60" s="59"/>
      <c r="I60" s="480"/>
      <c r="J60" s="257"/>
      <c r="K60" s="257"/>
      <c r="L60" s="59"/>
      <c r="M60" s="480"/>
    </row>
    <row r="61" spans="1:22" x14ac:dyDescent="0.2">
      <c r="A61" s="467">
        <v>45170</v>
      </c>
      <c r="B61" s="59">
        <v>584</v>
      </c>
      <c r="G61" s="267"/>
      <c r="H61" s="59"/>
      <c r="I61" s="480"/>
      <c r="J61" s="257"/>
      <c r="K61" s="257"/>
      <c r="L61" s="59"/>
      <c r="M61" s="480"/>
    </row>
    <row r="62" spans="1:22" x14ac:dyDescent="0.2">
      <c r="A62" s="467">
        <v>45200</v>
      </c>
      <c r="B62" s="59">
        <v>412</v>
      </c>
      <c r="G62" s="267"/>
      <c r="H62" s="59"/>
      <c r="I62" s="480"/>
      <c r="J62" s="257"/>
      <c r="K62" s="257"/>
      <c r="L62" s="59"/>
      <c r="M62" s="480"/>
    </row>
    <row r="63" spans="1:22" x14ac:dyDescent="0.2">
      <c r="A63" s="467">
        <v>45231</v>
      </c>
      <c r="B63" s="59">
        <v>306</v>
      </c>
      <c r="G63" s="267"/>
      <c r="H63" s="59"/>
      <c r="I63" s="480"/>
      <c r="J63" s="257"/>
      <c r="K63" s="257"/>
      <c r="L63" s="59"/>
      <c r="M63" s="480"/>
    </row>
    <row r="64" spans="1:22" x14ac:dyDescent="0.2">
      <c r="A64" s="467">
        <v>45261</v>
      </c>
      <c r="B64" s="59">
        <v>421</v>
      </c>
      <c r="G64" s="267"/>
      <c r="H64" s="59"/>
      <c r="I64" s="480"/>
      <c r="J64" s="257"/>
      <c r="K64" s="257"/>
      <c r="L64" s="59"/>
      <c r="M64" s="480"/>
    </row>
    <row r="65" spans="1:13" x14ac:dyDescent="0.2">
      <c r="A65" s="467">
        <v>45292</v>
      </c>
      <c r="B65" s="59">
        <v>496</v>
      </c>
      <c r="G65" s="267"/>
      <c r="H65" s="59"/>
      <c r="I65" s="480"/>
      <c r="J65" s="257"/>
      <c r="K65" s="257"/>
      <c r="L65" s="59"/>
      <c r="M65" s="480"/>
    </row>
    <row r="66" spans="1:13" x14ac:dyDescent="0.2">
      <c r="A66" s="467">
        <v>45323</v>
      </c>
      <c r="B66" s="59">
        <v>132</v>
      </c>
      <c r="G66" s="267"/>
      <c r="H66" s="59"/>
      <c r="I66" s="480"/>
      <c r="J66" s="257"/>
      <c r="K66" s="257"/>
      <c r="L66" s="59"/>
      <c r="M66" s="480"/>
    </row>
    <row r="67" spans="1:13" x14ac:dyDescent="0.2">
      <c r="A67" s="467">
        <v>45352</v>
      </c>
      <c r="B67" s="59"/>
      <c r="G67" s="267"/>
      <c r="H67" s="59"/>
      <c r="I67" s="480"/>
      <c r="J67" s="257"/>
      <c r="K67" s="257"/>
      <c r="L67" s="59"/>
      <c r="M67" s="480"/>
    </row>
    <row r="68" spans="1:13" x14ac:dyDescent="0.2">
      <c r="A68" s="467">
        <v>45383</v>
      </c>
      <c r="B68" s="59">
        <v>454</v>
      </c>
      <c r="G68" s="267"/>
      <c r="H68" s="59"/>
      <c r="I68" s="480"/>
      <c r="J68" s="257"/>
      <c r="K68" s="257"/>
      <c r="L68" s="59"/>
      <c r="M68" s="480"/>
    </row>
    <row r="69" spans="1:13" x14ac:dyDescent="0.2">
      <c r="A69" s="467">
        <v>45413</v>
      </c>
      <c r="B69" s="59"/>
      <c r="E69" s="61"/>
      <c r="F69" s="61"/>
      <c r="G69" s="267"/>
      <c r="H69" s="59"/>
      <c r="I69" s="480"/>
      <c r="J69" s="257"/>
      <c r="K69" s="257"/>
      <c r="L69" s="59"/>
      <c r="M69" s="480"/>
    </row>
    <row r="70" spans="1:13" x14ac:dyDescent="0.2">
      <c r="A70" s="467">
        <v>45444</v>
      </c>
      <c r="B70" s="59"/>
      <c r="E70" s="61"/>
      <c r="F70" s="61"/>
      <c r="G70" s="267"/>
      <c r="H70" s="59"/>
      <c r="I70" s="480"/>
      <c r="J70" s="257"/>
      <c r="K70" s="257"/>
      <c r="L70" s="59"/>
      <c r="M70" s="480"/>
    </row>
    <row r="71" spans="1:13" x14ac:dyDescent="0.2">
      <c r="A71" s="467">
        <v>45474</v>
      </c>
      <c r="B71" s="59"/>
      <c r="E71" s="61"/>
      <c r="F71" s="61"/>
      <c r="G71" s="267"/>
      <c r="H71" s="59"/>
      <c r="I71" s="480"/>
      <c r="J71" s="257"/>
      <c r="K71" s="257"/>
      <c r="L71" s="59"/>
      <c r="M71" s="480"/>
    </row>
    <row r="72" spans="1:13" x14ac:dyDescent="0.2">
      <c r="A72" s="467">
        <v>45505</v>
      </c>
      <c r="B72" s="59"/>
      <c r="E72" s="61"/>
      <c r="F72" s="61"/>
      <c r="G72" s="267"/>
      <c r="H72" s="59"/>
      <c r="I72" s="480"/>
      <c r="J72" s="257"/>
      <c r="K72" s="257"/>
      <c r="L72" s="59"/>
      <c r="M72" s="480"/>
    </row>
    <row r="73" spans="1:13" x14ac:dyDescent="0.2">
      <c r="A73" s="467">
        <v>45536</v>
      </c>
      <c r="B73" s="59"/>
      <c r="E73" s="61"/>
      <c r="F73" s="61"/>
      <c r="G73" s="636" t="s">
        <v>18</v>
      </c>
      <c r="H73" s="637"/>
      <c r="I73" s="637"/>
      <c r="J73" s="637"/>
      <c r="K73" s="638"/>
      <c r="L73" s="59">
        <f>SUM(L48:L72)</f>
        <v>26046.400000000001</v>
      </c>
      <c r="M73" s="480"/>
    </row>
    <row r="74" spans="1:13" x14ac:dyDescent="0.2">
      <c r="A74" s="467">
        <v>45566</v>
      </c>
      <c r="B74" s="59"/>
      <c r="E74" s="61"/>
      <c r="F74" s="61"/>
    </row>
    <row r="75" spans="1:13" x14ac:dyDescent="0.2">
      <c r="A75" s="467">
        <v>45597</v>
      </c>
      <c r="B75" s="59"/>
      <c r="E75" s="61"/>
      <c r="F75" s="61"/>
    </row>
    <row r="76" spans="1:13" x14ac:dyDescent="0.2">
      <c r="A76" s="467">
        <v>45627</v>
      </c>
      <c r="B76" s="59"/>
      <c r="E76" s="61"/>
      <c r="F76" s="61"/>
    </row>
    <row r="77" spans="1:13" x14ac:dyDescent="0.2">
      <c r="A77" s="467">
        <v>45658</v>
      </c>
      <c r="B77" s="59"/>
      <c r="E77" s="61"/>
      <c r="F77" s="61"/>
      <c r="H77" s="283"/>
      <c r="I77" s="283"/>
      <c r="J77" s="283"/>
    </row>
    <row r="78" spans="1:13" x14ac:dyDescent="0.2">
      <c r="A78" s="467">
        <v>45689</v>
      </c>
      <c r="B78" s="59"/>
      <c r="E78" s="61" t="s">
        <v>255</v>
      </c>
      <c r="F78" s="61"/>
      <c r="H78" s="283"/>
      <c r="I78" s="283"/>
      <c r="J78" s="283"/>
      <c r="K78" s="283"/>
      <c r="L78" s="283"/>
    </row>
    <row r="79" spans="1:13" x14ac:dyDescent="0.2">
      <c r="A79" s="467">
        <v>45717</v>
      </c>
      <c r="B79" s="59"/>
      <c r="D79" s="54" t="s">
        <v>560</v>
      </c>
      <c r="E79" s="61">
        <v>5543</v>
      </c>
      <c r="F79" s="61"/>
      <c r="H79" s="61"/>
      <c r="I79" s="61"/>
      <c r="J79" s="61"/>
      <c r="K79" s="61"/>
      <c r="L79" s="61"/>
    </row>
    <row r="80" spans="1:13" x14ac:dyDescent="0.2">
      <c r="A80" s="467">
        <v>45748</v>
      </c>
      <c r="B80" s="59"/>
      <c r="D80" s="54" t="s">
        <v>561</v>
      </c>
      <c r="E80" s="61">
        <v>10003</v>
      </c>
      <c r="F80" s="61"/>
      <c r="H80" s="61"/>
      <c r="I80" s="61"/>
      <c r="J80" s="61"/>
      <c r="K80" s="61"/>
      <c r="L80" s="61"/>
    </row>
    <row r="81" spans="1:13" x14ac:dyDescent="0.2">
      <c r="A81" s="467">
        <v>45778</v>
      </c>
      <c r="B81" s="59"/>
      <c r="D81" s="54" t="s">
        <v>562</v>
      </c>
      <c r="E81" s="61">
        <v>20910</v>
      </c>
      <c r="F81" s="61"/>
      <c r="H81" s="61"/>
      <c r="I81" s="61"/>
      <c r="J81" s="61"/>
      <c r="K81" s="61"/>
      <c r="L81" s="61"/>
    </row>
    <row r="82" spans="1:13" x14ac:dyDescent="0.2">
      <c r="A82" s="467">
        <v>45809</v>
      </c>
      <c r="B82" s="59"/>
      <c r="D82" s="54" t="s">
        <v>563</v>
      </c>
      <c r="E82" s="61">
        <v>4930</v>
      </c>
      <c r="F82" s="61"/>
      <c r="H82" s="61"/>
      <c r="I82" s="61"/>
      <c r="J82" s="61"/>
      <c r="K82" s="61"/>
      <c r="L82" s="61"/>
    </row>
    <row r="83" spans="1:13" x14ac:dyDescent="0.2">
      <c r="A83" s="467">
        <v>45839</v>
      </c>
      <c r="B83" s="59"/>
      <c r="D83" s="54" t="s">
        <v>564</v>
      </c>
      <c r="E83" s="61">
        <v>7103</v>
      </c>
      <c r="F83" s="61"/>
      <c r="H83" s="61"/>
      <c r="I83" s="61"/>
      <c r="J83" s="61"/>
      <c r="K83" s="61"/>
      <c r="L83" s="61"/>
      <c r="M83" s="455"/>
    </row>
    <row r="84" spans="1:13" x14ac:dyDescent="0.2">
      <c r="A84" s="467">
        <v>45870</v>
      </c>
      <c r="B84" s="59"/>
      <c r="D84" s="54" t="s">
        <v>565</v>
      </c>
      <c r="E84" s="61">
        <v>17320</v>
      </c>
      <c r="H84" s="61"/>
      <c r="I84" s="61"/>
      <c r="J84" s="61"/>
      <c r="K84" s="61"/>
      <c r="L84" s="61"/>
    </row>
    <row r="85" spans="1:13" x14ac:dyDescent="0.2">
      <c r="A85" s="467">
        <v>45901</v>
      </c>
      <c r="B85" s="59"/>
      <c r="D85" s="54" t="s">
        <v>566</v>
      </c>
      <c r="E85" s="61"/>
      <c r="F85" s="61"/>
      <c r="H85" s="61"/>
      <c r="I85" s="61"/>
      <c r="J85" s="61"/>
      <c r="K85" s="61"/>
      <c r="L85" s="61"/>
    </row>
    <row r="86" spans="1:13" x14ac:dyDescent="0.2">
      <c r="A86" s="467">
        <v>45931</v>
      </c>
      <c r="B86" s="59"/>
      <c r="C86" s="455"/>
      <c r="D86" s="54" t="s">
        <v>567</v>
      </c>
      <c r="E86" s="61"/>
      <c r="F86" s="61"/>
      <c r="H86" s="61"/>
    </row>
    <row r="87" spans="1:13" x14ac:dyDescent="0.2">
      <c r="A87" s="467">
        <v>45962</v>
      </c>
      <c r="B87" s="59"/>
      <c r="C87" s="455"/>
      <c r="D87" s="54" t="s">
        <v>568</v>
      </c>
      <c r="E87" s="61"/>
      <c r="F87" s="61"/>
      <c r="H87" s="61"/>
    </row>
    <row r="88" spans="1:13" x14ac:dyDescent="0.2">
      <c r="A88" s="467">
        <v>45992</v>
      </c>
      <c r="B88" s="59"/>
      <c r="C88" s="455"/>
      <c r="D88" s="54" t="s">
        <v>569</v>
      </c>
      <c r="E88" s="61"/>
      <c r="G88" s="450"/>
      <c r="H88" s="61"/>
    </row>
    <row r="89" spans="1:13" x14ac:dyDescent="0.2">
      <c r="A89" s="468" t="s">
        <v>18</v>
      </c>
      <c r="B89" s="59">
        <f>SUM(B19:B65)</f>
        <v>12755</v>
      </c>
      <c r="C89" s="455"/>
      <c r="D89" s="54" t="s">
        <v>570</v>
      </c>
      <c r="E89" s="61"/>
      <c r="G89" s="54"/>
      <c r="H89" s="283"/>
      <c r="I89" s="283"/>
      <c r="J89" s="283"/>
      <c r="K89" s="283"/>
    </row>
    <row r="90" spans="1:13" x14ac:dyDescent="0.2">
      <c r="A90" s="283"/>
      <c r="C90" s="455"/>
      <c r="D90" s="54" t="s">
        <v>571</v>
      </c>
      <c r="E90" s="61"/>
      <c r="F90" s="343"/>
      <c r="G90" s="54"/>
      <c r="H90" s="283"/>
      <c r="I90" s="283"/>
      <c r="J90" s="283"/>
      <c r="K90" s="283"/>
      <c r="L90" s="283"/>
    </row>
    <row r="91" spans="1:13" x14ac:dyDescent="0.2">
      <c r="A91" s="283"/>
      <c r="C91" s="455"/>
      <c r="E91" s="486">
        <f>SUM(E79:E90)</f>
        <v>65809</v>
      </c>
      <c r="F91" s="457"/>
      <c r="G91" s="284"/>
      <c r="H91" s="61"/>
      <c r="I91" s="61"/>
      <c r="J91" s="61"/>
      <c r="K91" s="61"/>
      <c r="L91" s="61"/>
    </row>
    <row r="92" spans="1:13" x14ac:dyDescent="0.2">
      <c r="A92" s="283"/>
      <c r="C92" s="632"/>
      <c r="D92" s="632"/>
      <c r="E92" s="61"/>
      <c r="F92" s="457"/>
      <c r="G92" s="284"/>
      <c r="H92" s="61"/>
      <c r="I92" s="61"/>
      <c r="J92" s="61"/>
      <c r="K92" s="61"/>
      <c r="L92" s="61"/>
    </row>
    <row r="93" spans="1:13" x14ac:dyDescent="0.2">
      <c r="A93" s="283"/>
      <c r="E93" s="61"/>
      <c r="F93" s="457"/>
      <c r="G93" s="284"/>
      <c r="H93" s="61"/>
      <c r="I93" s="61"/>
      <c r="J93" s="61"/>
      <c r="K93" s="61"/>
      <c r="L93" s="61"/>
      <c r="M93" s="455"/>
    </row>
    <row r="94" spans="1:13" x14ac:dyDescent="0.2">
      <c r="A94" s="283"/>
      <c r="B94" s="289"/>
      <c r="E94" s="61"/>
      <c r="F94" s="457"/>
      <c r="G94" s="284"/>
      <c r="H94" s="61"/>
      <c r="I94" s="61"/>
      <c r="J94" s="61"/>
      <c r="K94" s="61"/>
      <c r="L94" s="61"/>
      <c r="M94" s="455"/>
    </row>
    <row r="95" spans="1:13" x14ac:dyDescent="0.2">
      <c r="E95" s="61"/>
      <c r="F95" s="457"/>
      <c r="G95" s="284"/>
      <c r="H95" s="61"/>
      <c r="I95" s="61"/>
      <c r="J95" s="61"/>
      <c r="K95" s="61"/>
      <c r="L95" s="61"/>
      <c r="M95" s="455"/>
    </row>
    <row r="96" spans="1:13" x14ac:dyDescent="0.2">
      <c r="E96" s="61"/>
      <c r="F96" s="457"/>
      <c r="G96" s="284"/>
      <c r="H96" s="61"/>
      <c r="I96" s="61"/>
      <c r="J96" s="61"/>
      <c r="K96" s="61"/>
      <c r="L96" s="61"/>
      <c r="M96" s="455"/>
    </row>
    <row r="97" spans="6:13" x14ac:dyDescent="0.2">
      <c r="F97" s="457"/>
      <c r="G97" s="284"/>
      <c r="H97" s="61"/>
      <c r="I97" s="61"/>
      <c r="J97" s="61"/>
      <c r="K97" s="61"/>
      <c r="L97" s="61"/>
      <c r="M97" s="466"/>
    </row>
    <row r="98" spans="6:13" x14ac:dyDescent="0.2">
      <c r="F98" s="457"/>
      <c r="G98" s="284"/>
      <c r="H98" s="61"/>
      <c r="I98" s="61"/>
      <c r="J98" s="61"/>
      <c r="K98" s="61"/>
      <c r="L98" s="61"/>
      <c r="M98" s="466"/>
    </row>
    <row r="99" spans="6:13" x14ac:dyDescent="0.2">
      <c r="F99" s="457"/>
      <c r="G99" s="284"/>
      <c r="H99" s="61"/>
      <c r="I99" s="61"/>
      <c r="J99" s="61"/>
      <c r="K99" s="61"/>
      <c r="L99" s="61"/>
      <c r="M99" s="466"/>
    </row>
    <row r="100" spans="6:13" x14ac:dyDescent="0.2">
      <c r="I100" s="343"/>
      <c r="J100" s="343"/>
      <c r="K100" s="458"/>
      <c r="L100" s="61"/>
    </row>
    <row r="102" spans="6:13" x14ac:dyDescent="0.2">
      <c r="G102" s="459"/>
      <c r="H102" s="456"/>
      <c r="K102" s="456"/>
    </row>
    <row r="104" spans="6:13" x14ac:dyDescent="0.2">
      <c r="F104" s="61"/>
      <c r="H104" s="283"/>
      <c r="I104" s="283"/>
      <c r="J104" s="283"/>
    </row>
    <row r="105" spans="6:13" x14ac:dyDescent="0.2">
      <c r="F105" s="61"/>
      <c r="H105" s="283"/>
      <c r="I105" s="283"/>
      <c r="J105" s="283"/>
      <c r="K105" s="283"/>
      <c r="L105" s="283"/>
    </row>
    <row r="106" spans="6:13" x14ac:dyDescent="0.2">
      <c r="F106" s="61"/>
      <c r="H106" s="61"/>
      <c r="I106" s="61"/>
      <c r="J106" s="61"/>
      <c r="K106" s="61"/>
      <c r="L106" s="61"/>
    </row>
    <row r="107" spans="6:13" x14ac:dyDescent="0.2">
      <c r="F107" s="61"/>
      <c r="H107" s="61"/>
      <c r="I107" s="61"/>
      <c r="J107" s="61"/>
      <c r="K107" s="61"/>
      <c r="L107" s="61"/>
    </row>
    <row r="108" spans="6:13" x14ac:dyDescent="0.2">
      <c r="F108" s="61"/>
      <c r="H108" s="61"/>
      <c r="I108" s="61"/>
      <c r="J108" s="61"/>
      <c r="K108" s="61"/>
      <c r="L108" s="61"/>
    </row>
    <row r="109" spans="6:13" x14ac:dyDescent="0.2">
      <c r="F109" s="61"/>
      <c r="H109" s="61"/>
      <c r="I109" s="61"/>
      <c r="J109" s="61"/>
      <c r="K109" s="61"/>
      <c r="L109" s="61"/>
    </row>
    <row r="110" spans="6:13" x14ac:dyDescent="0.2">
      <c r="F110" s="61"/>
      <c r="H110" s="61"/>
      <c r="I110" s="460"/>
      <c r="J110" s="61"/>
      <c r="K110" s="61"/>
      <c r="L110" s="61"/>
    </row>
    <row r="111" spans="6:13" x14ac:dyDescent="0.2">
      <c r="F111" s="61"/>
      <c r="H111" s="61"/>
      <c r="I111" s="61"/>
      <c r="J111" s="61"/>
      <c r="K111" s="61"/>
      <c r="L111" s="61"/>
    </row>
    <row r="112" spans="6:13" x14ac:dyDescent="0.2">
      <c r="F112" s="61"/>
      <c r="H112" s="61"/>
      <c r="I112" s="61"/>
      <c r="J112" s="61"/>
      <c r="K112" s="61"/>
      <c r="L112" s="61"/>
    </row>
    <row r="115" spans="2:16" x14ac:dyDescent="0.2">
      <c r="B115" s="283"/>
      <c r="C115" s="283"/>
      <c r="D115" s="283"/>
      <c r="E115" s="283"/>
      <c r="F115" s="283"/>
      <c r="G115" s="284"/>
      <c r="H115" s="283"/>
    </row>
    <row r="116" spans="2:16" x14ac:dyDescent="0.2">
      <c r="B116" s="283"/>
      <c r="C116" s="283"/>
      <c r="D116" s="283"/>
      <c r="E116" s="283"/>
      <c r="F116" s="283"/>
      <c r="G116" s="284"/>
      <c r="H116" s="283"/>
    </row>
    <row r="117" spans="2:16" x14ac:dyDescent="0.2">
      <c r="B117" s="283"/>
      <c r="C117" s="283"/>
      <c r="D117" s="283"/>
      <c r="E117" s="283"/>
      <c r="F117" s="283"/>
      <c r="G117" s="284"/>
      <c r="H117" s="283"/>
    </row>
    <row r="118" spans="2:16" x14ac:dyDescent="0.2">
      <c r="B118" s="461"/>
      <c r="C118" s="283"/>
      <c r="D118" s="283"/>
      <c r="E118" s="283"/>
      <c r="F118" s="283"/>
      <c r="G118" s="283"/>
      <c r="H118" s="283"/>
    </row>
    <row r="119" spans="2:16" x14ac:dyDescent="0.2">
      <c r="B119" s="462"/>
      <c r="C119" s="463"/>
      <c r="D119" s="463"/>
      <c r="E119" s="463"/>
      <c r="F119" s="463"/>
      <c r="G119" s="464"/>
      <c r="H119" s="463"/>
    </row>
    <row r="120" spans="2:16" x14ac:dyDescent="0.2">
      <c r="B120" s="462"/>
      <c r="C120" s="463"/>
      <c r="D120" s="463"/>
      <c r="E120" s="463"/>
      <c r="F120" s="463"/>
      <c r="G120" s="464"/>
      <c r="H120" s="463"/>
    </row>
    <row r="121" spans="2:16" x14ac:dyDescent="0.2">
      <c r="B121" s="462"/>
      <c r="C121" s="463"/>
      <c r="D121" s="463"/>
      <c r="E121" s="463"/>
      <c r="F121" s="463"/>
      <c r="G121" s="464"/>
      <c r="H121" s="463"/>
      <c r="N121" s="283"/>
      <c r="O121" s="283"/>
      <c r="P121" s="283"/>
    </row>
    <row r="122" spans="2:16" x14ac:dyDescent="0.2">
      <c r="B122" s="462"/>
      <c r="C122" s="463"/>
      <c r="D122" s="463"/>
      <c r="E122" s="463"/>
      <c r="F122" s="463"/>
      <c r="G122" s="464"/>
      <c r="H122" s="463"/>
    </row>
    <row r="123" spans="2:16" x14ac:dyDescent="0.2">
      <c r="B123" s="462"/>
      <c r="C123" s="463"/>
      <c r="D123" s="463"/>
      <c r="E123" s="463"/>
      <c r="F123" s="463"/>
      <c r="G123" s="464"/>
      <c r="H123" s="463"/>
      <c r="L123" s="463"/>
      <c r="N123" s="465"/>
      <c r="O123" s="465"/>
    </row>
    <row r="124" spans="2:16" x14ac:dyDescent="0.2">
      <c r="B124" s="462"/>
      <c r="C124" s="463"/>
      <c r="D124" s="463"/>
      <c r="E124" s="463"/>
      <c r="F124" s="463"/>
      <c r="G124" s="464"/>
      <c r="H124" s="463"/>
      <c r="L124" s="463"/>
      <c r="N124" s="465"/>
      <c r="O124" s="465"/>
    </row>
    <row r="125" spans="2:16" x14ac:dyDescent="0.2">
      <c r="B125" s="462"/>
      <c r="C125" s="463"/>
      <c r="D125" s="463"/>
      <c r="E125" s="463"/>
      <c r="F125" s="463"/>
      <c r="G125" s="464"/>
      <c r="H125" s="463"/>
      <c r="L125" s="463"/>
      <c r="N125" s="465"/>
      <c r="O125" s="465"/>
    </row>
    <row r="126" spans="2:16" x14ac:dyDescent="0.2">
      <c r="B126" s="462"/>
      <c r="C126" s="463"/>
      <c r="D126" s="463"/>
      <c r="E126" s="463"/>
      <c r="F126" s="463"/>
      <c r="G126" s="464"/>
      <c r="H126" s="463"/>
      <c r="L126" s="463"/>
      <c r="N126" s="465"/>
      <c r="O126" s="465"/>
    </row>
    <row r="127" spans="2:16" x14ac:dyDescent="0.2">
      <c r="B127" s="462"/>
      <c r="C127" s="463"/>
      <c r="D127" s="463"/>
      <c r="E127" s="463"/>
      <c r="F127" s="463"/>
      <c r="G127" s="464"/>
      <c r="H127" s="463"/>
      <c r="L127" s="463"/>
      <c r="N127" s="465"/>
      <c r="O127" s="465"/>
    </row>
    <row r="128" spans="2:16" x14ac:dyDescent="0.2">
      <c r="B128" s="462"/>
      <c r="C128" s="463"/>
      <c r="D128" s="463"/>
      <c r="E128" s="463"/>
      <c r="F128" s="463"/>
      <c r="G128" s="464"/>
      <c r="H128" s="463"/>
      <c r="L128" s="463"/>
      <c r="N128" s="465"/>
      <c r="O128" s="465"/>
    </row>
    <row r="129" spans="2:15" x14ac:dyDescent="0.2">
      <c r="B129" s="462"/>
      <c r="C129" s="463"/>
      <c r="D129" s="463"/>
      <c r="E129" s="463"/>
      <c r="F129" s="463"/>
      <c r="G129" s="464"/>
      <c r="H129" s="463"/>
      <c r="L129" s="463"/>
      <c r="N129" s="465"/>
      <c r="O129" s="465"/>
    </row>
    <row r="130" spans="2:15" x14ac:dyDescent="0.2">
      <c r="B130" s="462"/>
      <c r="C130" s="463"/>
      <c r="D130" s="463"/>
      <c r="E130" s="463"/>
      <c r="F130" s="463"/>
      <c r="G130" s="464"/>
      <c r="H130" s="463"/>
      <c r="L130" s="463"/>
      <c r="N130" s="465"/>
      <c r="O130" s="465"/>
    </row>
    <row r="131" spans="2:15" x14ac:dyDescent="0.2">
      <c r="B131" s="462"/>
      <c r="C131" s="463"/>
      <c r="D131" s="463"/>
      <c r="E131" s="463"/>
      <c r="F131" s="463"/>
      <c r="G131" s="464"/>
      <c r="H131" s="463"/>
      <c r="L131" s="463"/>
      <c r="N131" s="465"/>
      <c r="O131" s="465"/>
    </row>
    <row r="132" spans="2:15" x14ac:dyDescent="0.2">
      <c r="B132" s="462"/>
      <c r="C132" s="463"/>
      <c r="D132" s="463"/>
      <c r="E132" s="463"/>
      <c r="F132" s="463"/>
      <c r="G132" s="464"/>
      <c r="H132" s="463"/>
      <c r="L132" s="463"/>
      <c r="N132" s="465"/>
      <c r="O132" s="465"/>
    </row>
    <row r="133" spans="2:15" x14ac:dyDescent="0.2">
      <c r="B133" s="462"/>
      <c r="C133" s="463"/>
      <c r="D133" s="463"/>
      <c r="E133" s="463"/>
      <c r="F133" s="463"/>
      <c r="G133" s="464"/>
      <c r="H133" s="463"/>
      <c r="L133" s="463"/>
      <c r="N133" s="465"/>
      <c r="O133" s="465"/>
    </row>
    <row r="134" spans="2:15" x14ac:dyDescent="0.2">
      <c r="B134" s="462"/>
      <c r="C134" s="463"/>
      <c r="D134" s="463"/>
      <c r="E134" s="463"/>
      <c r="F134" s="463"/>
      <c r="G134" s="464"/>
      <c r="H134" s="463"/>
      <c r="L134" s="463"/>
      <c r="N134" s="465"/>
      <c r="O134" s="465"/>
    </row>
    <row r="135" spans="2:15" x14ac:dyDescent="0.2">
      <c r="B135" s="462"/>
      <c r="C135" s="463"/>
      <c r="D135" s="463"/>
      <c r="E135" s="463"/>
      <c r="F135" s="463"/>
      <c r="G135" s="464"/>
      <c r="H135" s="463"/>
      <c r="L135" s="463"/>
      <c r="N135" s="465"/>
      <c r="O135" s="465"/>
    </row>
    <row r="136" spans="2:15" x14ac:dyDescent="0.2">
      <c r="B136" s="462"/>
      <c r="C136" s="463"/>
      <c r="D136" s="463"/>
      <c r="E136" s="463"/>
      <c r="F136" s="463"/>
      <c r="G136" s="464"/>
      <c r="H136" s="463"/>
      <c r="L136" s="463"/>
      <c r="N136" s="465"/>
      <c r="O136" s="465"/>
    </row>
    <row r="137" spans="2:15" x14ac:dyDescent="0.2">
      <c r="B137" s="462"/>
      <c r="C137" s="463"/>
      <c r="D137" s="463"/>
      <c r="E137" s="463"/>
      <c r="F137" s="463"/>
      <c r="G137" s="464"/>
      <c r="H137" s="463"/>
      <c r="L137" s="463"/>
      <c r="N137" s="465"/>
      <c r="O137" s="465"/>
    </row>
    <row r="138" spans="2:15" x14ac:dyDescent="0.2">
      <c r="B138" s="462"/>
      <c r="C138" s="463"/>
      <c r="D138" s="463"/>
      <c r="E138" s="463"/>
      <c r="F138" s="463"/>
      <c r="G138" s="464"/>
      <c r="H138" s="463"/>
      <c r="L138" s="463"/>
      <c r="N138" s="465"/>
      <c r="O138" s="465"/>
    </row>
    <row r="139" spans="2:15" x14ac:dyDescent="0.2">
      <c r="B139" s="462"/>
      <c r="C139" s="463"/>
      <c r="D139" s="463"/>
      <c r="E139" s="463"/>
      <c r="F139" s="463"/>
      <c r="G139" s="464"/>
      <c r="H139" s="463"/>
      <c r="L139" s="463"/>
      <c r="N139" s="465"/>
      <c r="O139" s="465"/>
    </row>
    <row r="140" spans="2:15" x14ac:dyDescent="0.2">
      <c r="B140" s="462"/>
      <c r="C140" s="463"/>
      <c r="D140" s="463"/>
      <c r="E140" s="463"/>
      <c r="F140" s="463"/>
      <c r="G140" s="464"/>
      <c r="H140" s="463"/>
      <c r="L140" s="463"/>
      <c r="N140" s="465"/>
      <c r="O140" s="465"/>
    </row>
    <row r="141" spans="2:15" x14ac:dyDescent="0.2">
      <c r="B141" s="462"/>
      <c r="C141" s="463"/>
      <c r="D141" s="463"/>
      <c r="E141" s="463"/>
      <c r="F141" s="463"/>
      <c r="G141" s="464"/>
      <c r="H141" s="463"/>
      <c r="L141" s="463"/>
      <c r="N141" s="465"/>
      <c r="O141" s="465"/>
    </row>
    <row r="142" spans="2:15" x14ac:dyDescent="0.2">
      <c r="B142" s="462"/>
      <c r="C142" s="463"/>
      <c r="D142" s="463"/>
      <c r="E142" s="463"/>
      <c r="F142" s="463"/>
      <c r="G142" s="464"/>
      <c r="H142" s="463"/>
      <c r="L142" s="463"/>
      <c r="N142" s="465"/>
      <c r="O142" s="465"/>
    </row>
    <row r="143" spans="2:15" x14ac:dyDescent="0.2">
      <c r="B143" s="462"/>
      <c r="C143" s="463"/>
      <c r="D143" s="463"/>
      <c r="E143" s="463"/>
      <c r="F143" s="463"/>
      <c r="G143" s="464"/>
      <c r="H143" s="463"/>
      <c r="L143" s="463"/>
      <c r="N143" s="465"/>
      <c r="O143" s="465"/>
    </row>
    <row r="144" spans="2:15" x14ac:dyDescent="0.2">
      <c r="B144" s="462"/>
      <c r="C144" s="463"/>
      <c r="D144" s="463"/>
      <c r="E144" s="463"/>
      <c r="F144" s="463"/>
      <c r="G144" s="464"/>
      <c r="H144" s="463"/>
      <c r="L144" s="463"/>
      <c r="N144" s="465"/>
      <c r="O144" s="465"/>
    </row>
    <row r="145" spans="2:15" x14ac:dyDescent="0.2">
      <c r="B145" s="462"/>
      <c r="C145" s="463"/>
      <c r="D145" s="463"/>
      <c r="E145" s="463"/>
      <c r="F145" s="463"/>
      <c r="G145" s="464"/>
      <c r="H145" s="463"/>
      <c r="L145" s="463"/>
      <c r="N145" s="465"/>
      <c r="O145" s="465"/>
    </row>
    <row r="146" spans="2:15" x14ac:dyDescent="0.2">
      <c r="B146" s="462"/>
      <c r="C146" s="463"/>
      <c r="D146" s="463"/>
      <c r="E146" s="463"/>
      <c r="F146" s="463"/>
      <c r="G146" s="464"/>
      <c r="H146" s="463"/>
      <c r="L146" s="463"/>
      <c r="N146" s="465"/>
      <c r="O146" s="465"/>
    </row>
    <row r="147" spans="2:15" x14ac:dyDescent="0.2">
      <c r="B147" s="462"/>
      <c r="C147" s="463"/>
      <c r="D147" s="463"/>
      <c r="E147" s="463"/>
      <c r="F147" s="463"/>
      <c r="G147" s="464"/>
      <c r="H147" s="463"/>
      <c r="L147" s="463"/>
      <c r="N147" s="465"/>
      <c r="O147" s="465"/>
    </row>
    <row r="148" spans="2:15" x14ac:dyDescent="0.2">
      <c r="B148" s="462"/>
      <c r="C148" s="463"/>
      <c r="D148" s="463"/>
      <c r="E148" s="463"/>
      <c r="F148" s="463"/>
      <c r="G148" s="464"/>
      <c r="H148" s="463"/>
      <c r="L148" s="463"/>
      <c r="N148" s="465"/>
      <c r="O148" s="465"/>
    </row>
    <row r="149" spans="2:15" x14ac:dyDescent="0.2">
      <c r="B149" s="462"/>
      <c r="C149" s="463"/>
      <c r="D149" s="463"/>
      <c r="E149" s="463"/>
      <c r="F149" s="463"/>
      <c r="G149" s="464"/>
      <c r="H149" s="463"/>
      <c r="L149" s="463"/>
      <c r="N149" s="465"/>
      <c r="O149" s="465"/>
    </row>
    <row r="150" spans="2:15" x14ac:dyDescent="0.2">
      <c r="B150" s="462"/>
      <c r="C150" s="463"/>
      <c r="D150" s="463"/>
      <c r="E150" s="463"/>
      <c r="F150" s="463"/>
      <c r="G150" s="464"/>
      <c r="H150" s="463"/>
      <c r="L150" s="463"/>
      <c r="N150" s="465"/>
      <c r="O150" s="465"/>
    </row>
    <row r="151" spans="2:15" x14ac:dyDescent="0.2">
      <c r="B151" s="462"/>
      <c r="C151" s="463"/>
      <c r="D151" s="463"/>
      <c r="E151" s="463"/>
      <c r="F151" s="463"/>
      <c r="G151" s="464"/>
      <c r="H151" s="463"/>
      <c r="L151" s="463"/>
      <c r="N151" s="465"/>
      <c r="O151" s="465"/>
    </row>
    <row r="152" spans="2:15" x14ac:dyDescent="0.2">
      <c r="B152" s="462"/>
      <c r="C152" s="463"/>
      <c r="D152" s="463"/>
      <c r="E152" s="463"/>
      <c r="F152" s="463"/>
      <c r="G152" s="464"/>
      <c r="H152" s="463"/>
      <c r="L152" s="463"/>
      <c r="N152" s="465"/>
      <c r="O152" s="465"/>
    </row>
    <row r="153" spans="2:15" x14ac:dyDescent="0.2">
      <c r="B153" s="462"/>
      <c r="C153" s="463"/>
      <c r="D153" s="463"/>
      <c r="E153" s="463"/>
      <c r="F153" s="463"/>
      <c r="G153" s="464"/>
      <c r="H153" s="463"/>
      <c r="L153" s="463"/>
      <c r="N153" s="465"/>
      <c r="O153" s="465"/>
    </row>
    <row r="154" spans="2:15" x14ac:dyDescent="0.2">
      <c r="B154" s="462"/>
      <c r="C154" s="463"/>
      <c r="D154" s="463"/>
      <c r="E154" s="463"/>
      <c r="F154" s="463"/>
      <c r="G154" s="464"/>
      <c r="H154" s="463"/>
      <c r="L154" s="463"/>
      <c r="N154" s="465"/>
      <c r="O154" s="465"/>
    </row>
    <row r="155" spans="2:15" x14ac:dyDescent="0.2">
      <c r="B155" s="462"/>
      <c r="C155" s="463"/>
      <c r="D155" s="463"/>
      <c r="E155" s="463"/>
      <c r="F155" s="463"/>
      <c r="G155" s="464"/>
      <c r="H155" s="463"/>
      <c r="L155" s="463"/>
      <c r="N155" s="465"/>
      <c r="O155" s="465"/>
    </row>
    <row r="156" spans="2:15" x14ac:dyDescent="0.2">
      <c r="B156" s="462"/>
      <c r="C156" s="463"/>
      <c r="D156" s="463"/>
      <c r="E156" s="463"/>
      <c r="F156" s="463"/>
      <c r="G156" s="464"/>
      <c r="H156" s="463"/>
      <c r="L156" s="463"/>
      <c r="N156" s="465"/>
      <c r="O156" s="465"/>
    </row>
    <row r="157" spans="2:15" x14ac:dyDescent="0.2">
      <c r="B157" s="462"/>
      <c r="C157" s="463"/>
      <c r="D157" s="463"/>
      <c r="E157" s="463"/>
      <c r="F157" s="463"/>
      <c r="G157" s="464"/>
      <c r="H157" s="463"/>
      <c r="L157" s="463"/>
      <c r="N157" s="465"/>
      <c r="O157" s="465"/>
    </row>
    <row r="158" spans="2:15" x14ac:dyDescent="0.2">
      <c r="B158" s="462"/>
      <c r="C158" s="463"/>
      <c r="D158" s="463"/>
      <c r="E158" s="463"/>
      <c r="F158" s="463"/>
      <c r="G158" s="464"/>
      <c r="H158" s="463"/>
      <c r="L158" s="463"/>
      <c r="N158" s="465"/>
      <c r="O158" s="465"/>
    </row>
    <row r="159" spans="2:15" x14ac:dyDescent="0.2">
      <c r="B159" s="462"/>
      <c r="C159" s="463"/>
      <c r="D159" s="463"/>
      <c r="E159" s="463"/>
      <c r="F159" s="463"/>
      <c r="G159" s="464"/>
      <c r="H159" s="463"/>
      <c r="L159" s="463"/>
      <c r="N159" s="465"/>
      <c r="O159" s="465"/>
    </row>
    <row r="160" spans="2:15" x14ac:dyDescent="0.2">
      <c r="B160" s="462"/>
      <c r="C160" s="463"/>
      <c r="D160" s="463"/>
      <c r="E160" s="463"/>
      <c r="F160" s="463"/>
      <c r="G160" s="464"/>
      <c r="H160" s="463"/>
      <c r="L160" s="463"/>
      <c r="N160" s="465"/>
      <c r="O160" s="465"/>
    </row>
    <row r="161" spans="2:15" x14ac:dyDescent="0.2">
      <c r="B161" s="462"/>
      <c r="C161" s="463"/>
      <c r="D161" s="463"/>
      <c r="E161" s="463"/>
      <c r="F161" s="463"/>
      <c r="G161" s="464"/>
      <c r="H161" s="463"/>
      <c r="L161" s="463"/>
      <c r="N161" s="465"/>
      <c r="O161" s="465"/>
    </row>
    <row r="162" spans="2:15" x14ac:dyDescent="0.2">
      <c r="B162" s="462"/>
      <c r="C162" s="463"/>
      <c r="D162" s="463"/>
      <c r="E162" s="463"/>
      <c r="F162" s="463"/>
      <c r="G162" s="464"/>
      <c r="H162" s="463"/>
      <c r="L162" s="463"/>
      <c r="N162" s="465"/>
      <c r="O162" s="465"/>
    </row>
    <row r="163" spans="2:15" x14ac:dyDescent="0.2">
      <c r="B163" s="462"/>
      <c r="C163" s="463"/>
      <c r="D163" s="463"/>
      <c r="E163" s="463"/>
      <c r="F163" s="463"/>
      <c r="G163" s="464"/>
      <c r="H163" s="463"/>
      <c r="L163" s="463"/>
      <c r="N163" s="465"/>
      <c r="O163" s="465"/>
    </row>
    <row r="164" spans="2:15" x14ac:dyDescent="0.2">
      <c r="B164" s="462"/>
      <c r="C164" s="463"/>
      <c r="D164" s="463"/>
      <c r="E164" s="463"/>
      <c r="F164" s="463"/>
      <c r="G164" s="464"/>
      <c r="H164" s="463"/>
      <c r="L164" s="463"/>
      <c r="N164" s="465"/>
      <c r="O164" s="465"/>
    </row>
    <row r="165" spans="2:15" x14ac:dyDescent="0.2">
      <c r="B165" s="462"/>
      <c r="C165" s="463"/>
      <c r="D165" s="463"/>
      <c r="E165" s="463"/>
      <c r="F165" s="463"/>
      <c r="G165" s="464"/>
      <c r="H165" s="463"/>
      <c r="L165" s="463"/>
      <c r="N165" s="465"/>
      <c r="O165" s="465"/>
    </row>
    <row r="166" spans="2:15" x14ac:dyDescent="0.2">
      <c r="B166" s="462"/>
      <c r="C166" s="463"/>
      <c r="D166" s="463"/>
      <c r="E166" s="463"/>
      <c r="F166" s="463"/>
      <c r="G166" s="464"/>
      <c r="H166" s="463"/>
      <c r="L166" s="463"/>
      <c r="N166" s="465"/>
      <c r="O166" s="465"/>
    </row>
    <row r="167" spans="2:15" x14ac:dyDescent="0.2">
      <c r="N167" s="465"/>
      <c r="O167" s="465"/>
    </row>
    <row r="168" spans="2:15" x14ac:dyDescent="0.2">
      <c r="E168" s="463"/>
      <c r="H168" s="463"/>
      <c r="N168" s="465"/>
      <c r="O168" s="465"/>
    </row>
    <row r="170" spans="2:15" x14ac:dyDescent="0.2">
      <c r="H170" s="463"/>
    </row>
  </sheetData>
  <sortState xmlns:xlrd2="http://schemas.microsoft.com/office/spreadsheetml/2017/richdata2" ref="L217:M247">
    <sortCondition ref="L217:L247"/>
  </sortState>
  <mergeCells count="13">
    <mergeCell ref="I13:K13"/>
    <mergeCell ref="A18:B18"/>
    <mergeCell ref="C92:D92"/>
    <mergeCell ref="A13:A14"/>
    <mergeCell ref="B13:D14"/>
    <mergeCell ref="G73:K73"/>
    <mergeCell ref="C17:E17"/>
    <mergeCell ref="AH3:AH20"/>
    <mergeCell ref="O23:P23"/>
    <mergeCell ref="O13:P13"/>
    <mergeCell ref="O14:P14"/>
    <mergeCell ref="O15:P15"/>
    <mergeCell ref="O16:P16"/>
  </mergeCells>
  <phoneticPr fontId="56" type="noConversion"/>
  <conditionalFormatting sqref="M2:M5 W2:W7 M6:N7">
    <cfRule type="cellIs" dxfId="22" priority="543" operator="greaterThan">
      <formula>$L$6</formula>
    </cfRule>
  </conditionalFormatting>
  <conditionalFormatting sqref="M2:N7 W2:W7">
    <cfRule type="cellIs" dxfId="21" priority="88" operator="greaterThan">
      <formula>#REF!</formula>
    </cfRule>
    <cfRule type="cellIs" dxfId="20" priority="89" operator="greaterThan">
      <formula>VALUE(L2)</formula>
    </cfRule>
  </conditionalFormatting>
  <conditionalFormatting sqref="M4:N5">
    <cfRule type="cellIs" dxfId="19" priority="86" operator="greaterThan">
      <formula>$L$4</formula>
    </cfRule>
  </conditionalFormatting>
  <conditionalFormatting sqref="N6:N7">
    <cfRule type="cellIs" dxfId="18" priority="81" operator="greaterThan">
      <formula>#REF!</formula>
    </cfRule>
  </conditionalFormatting>
  <conditionalFormatting sqref="O2:O7">
    <cfRule type="timePeriod" dxfId="17" priority="5" timePeriod="thisWeek">
      <formula>AND(TODAY()-ROUNDDOWN(O2,0)&lt;=WEEKDAY(TODAY())-1,ROUNDDOWN(O2,0)-TODAY()&lt;=7-WEEKDAY(TODAY()))</formula>
    </cfRule>
  </conditionalFormatting>
  <conditionalFormatting sqref="P2:P7">
    <cfRule type="cellIs" dxfId="16" priority="26" operator="equal">
      <formula>TODAY()</formula>
    </cfRule>
    <cfRule type="timePeriod" dxfId="15" priority="27" timePeriod="last7Days">
      <formula>AND(TODAY()-FLOOR(P2,1)&lt;=6,FLOOR(P2,1)&lt;=TODAY())</formula>
    </cfRule>
  </conditionalFormatting>
  <conditionalFormatting sqref="AI3:AI20">
    <cfRule type="cellIs" dxfId="14" priority="6" operator="greaterThan">
      <formula>5000</formula>
    </cfRule>
  </conditionalFormatting>
  <pageMargins left="0.7" right="0.7" top="0.75" bottom="0.75" header="0.3" footer="0.3"/>
  <pageSetup orientation="portrait" r:id="rId1"/>
  <ignoredErrors>
    <ignoredError sqref="D6:E6 D11:E11 D9:E9 E10 D4" twoDigitTextYear="1"/>
  </ignoredError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D2FA-AB61-4341-A373-79299C646983}">
  <dimension ref="A1:P14"/>
  <sheetViews>
    <sheetView zoomScaleNormal="100" workbookViewId="0">
      <selection activeCell="M9" sqref="M9"/>
    </sheetView>
  </sheetViews>
  <sheetFormatPr defaultColWidth="24.28515625" defaultRowHeight="15" x14ac:dyDescent="0.25"/>
  <cols>
    <col min="1" max="14" width="13.42578125" style="549" customWidth="1"/>
    <col min="15" max="15" width="18" style="549" bestFit="1" customWidth="1"/>
    <col min="16" max="16" width="14.5703125" style="549" customWidth="1"/>
    <col min="17" max="16384" width="24.28515625" style="549"/>
  </cols>
  <sheetData>
    <row r="1" spans="1:16" x14ac:dyDescent="0.25">
      <c r="A1" s="551" t="s">
        <v>902</v>
      </c>
      <c r="B1" s="552">
        <f>SUM(B2:B14)</f>
        <v>1104246</v>
      </c>
      <c r="C1" s="552">
        <f t="shared" ref="C1:M1" si="0">SUM(C2:C14)</f>
        <v>713937</v>
      </c>
      <c r="D1" s="552">
        <f t="shared" si="0"/>
        <v>101991</v>
      </c>
      <c r="E1" s="552">
        <f t="shared" si="0"/>
        <v>113256</v>
      </c>
      <c r="F1" s="552">
        <f t="shared" si="0"/>
        <v>203982</v>
      </c>
      <c r="G1" s="552">
        <f t="shared" si="0"/>
        <v>15000</v>
      </c>
      <c r="H1" s="552">
        <f t="shared" si="0"/>
        <v>500000</v>
      </c>
      <c r="I1" s="552">
        <f t="shared" si="0"/>
        <v>2752412</v>
      </c>
      <c r="J1" s="552">
        <f t="shared" si="0"/>
        <v>10800</v>
      </c>
      <c r="K1" s="552">
        <f t="shared" si="0"/>
        <v>1200</v>
      </c>
      <c r="L1" s="552">
        <f t="shared" si="0"/>
        <v>15000</v>
      </c>
      <c r="M1" s="552">
        <f t="shared" si="0"/>
        <v>3588</v>
      </c>
      <c r="N1" s="552">
        <f>SUM(N2:N14)</f>
        <v>494782</v>
      </c>
      <c r="O1" s="552">
        <f t="shared" ref="O1:P1" si="1">SUM(O2:O14)</f>
        <v>525370</v>
      </c>
      <c r="P1" s="552">
        <f t="shared" si="1"/>
        <v>2227042</v>
      </c>
    </row>
    <row r="2" spans="1:16" s="550" customFormat="1" ht="30" x14ac:dyDescent="0.25">
      <c r="A2" s="553" t="s">
        <v>208</v>
      </c>
      <c r="B2" s="554" t="s">
        <v>1052</v>
      </c>
      <c r="C2" s="554" t="s">
        <v>197</v>
      </c>
      <c r="D2" s="554" t="s">
        <v>1055</v>
      </c>
      <c r="E2" s="554" t="s">
        <v>1546</v>
      </c>
      <c r="F2" s="554" t="s">
        <v>195</v>
      </c>
      <c r="G2" s="554" t="s">
        <v>205</v>
      </c>
      <c r="H2" s="554" t="s">
        <v>1549</v>
      </c>
      <c r="I2" s="558" t="s">
        <v>1047</v>
      </c>
      <c r="J2" s="555" t="s">
        <v>1051</v>
      </c>
      <c r="K2" s="555" t="s">
        <v>203</v>
      </c>
      <c r="L2" s="555" t="s">
        <v>205</v>
      </c>
      <c r="M2" s="555" t="s">
        <v>1550</v>
      </c>
      <c r="N2" s="555" t="s">
        <v>206</v>
      </c>
      <c r="O2" s="557" t="s">
        <v>1548</v>
      </c>
      <c r="P2" s="556" t="s">
        <v>1547</v>
      </c>
    </row>
    <row r="3" spans="1:16" x14ac:dyDescent="0.25">
      <c r="A3" s="551" t="s">
        <v>854</v>
      </c>
      <c r="B3" s="551">
        <v>169884</v>
      </c>
      <c r="C3" s="551">
        <v>108921</v>
      </c>
      <c r="D3" s="551">
        <v>15560</v>
      </c>
      <c r="E3" s="551">
        <v>37752</v>
      </c>
      <c r="F3" s="551">
        <v>31120</v>
      </c>
      <c r="G3" s="551">
        <v>2500</v>
      </c>
      <c r="H3" s="551"/>
      <c r="I3" s="551">
        <f>SUM(B3:H3)</f>
        <v>365737</v>
      </c>
      <c r="J3" s="551">
        <v>1800</v>
      </c>
      <c r="K3" s="551">
        <v>200</v>
      </c>
      <c r="L3" s="551">
        <v>2500</v>
      </c>
      <c r="M3" s="551"/>
      <c r="N3" s="552">
        <v>73783</v>
      </c>
      <c r="O3" s="551">
        <f>SUM(J3:N3)</f>
        <v>78283</v>
      </c>
      <c r="P3" s="551">
        <f>I3-O3</f>
        <v>287454</v>
      </c>
    </row>
    <row r="4" spans="1:16" x14ac:dyDescent="0.25">
      <c r="A4" s="551" t="s">
        <v>565</v>
      </c>
      <c r="B4" s="551">
        <v>169884</v>
      </c>
      <c r="C4" s="551">
        <v>108921</v>
      </c>
      <c r="D4" s="551">
        <v>15560</v>
      </c>
      <c r="E4" s="551">
        <v>37752</v>
      </c>
      <c r="F4" s="551">
        <v>31120</v>
      </c>
      <c r="G4" s="551">
        <v>2500</v>
      </c>
      <c r="H4" s="551"/>
      <c r="I4" s="551">
        <f t="shared" ref="I4:I14" si="2">SUM(B4:H4)</f>
        <v>365737</v>
      </c>
      <c r="J4" s="551">
        <v>1800</v>
      </c>
      <c r="K4" s="551">
        <v>200</v>
      </c>
      <c r="L4" s="551">
        <v>2500</v>
      </c>
      <c r="M4" s="551"/>
      <c r="N4" s="552">
        <v>73712</v>
      </c>
      <c r="O4" s="551">
        <f t="shared" ref="O4:O14" si="3">SUM(J4:N4)</f>
        <v>78212</v>
      </c>
      <c r="P4" s="551">
        <f t="shared" ref="P4:P14" si="4">I4-O4</f>
        <v>287525</v>
      </c>
    </row>
    <row r="5" spans="1:16" x14ac:dyDescent="0.25">
      <c r="A5" s="551" t="s">
        <v>837</v>
      </c>
      <c r="B5" s="551">
        <v>169884</v>
      </c>
      <c r="C5" s="551">
        <v>108921</v>
      </c>
      <c r="D5" s="551">
        <v>15560</v>
      </c>
      <c r="E5" s="551">
        <v>37752</v>
      </c>
      <c r="F5" s="551">
        <v>31120</v>
      </c>
      <c r="G5" s="551">
        <v>2500</v>
      </c>
      <c r="H5" s="551"/>
      <c r="I5" s="551">
        <f t="shared" si="2"/>
        <v>365737</v>
      </c>
      <c r="J5" s="551">
        <v>1800</v>
      </c>
      <c r="K5" s="551">
        <v>200</v>
      </c>
      <c r="L5" s="551">
        <v>2500</v>
      </c>
      <c r="M5" s="551"/>
      <c r="N5" s="552">
        <v>73634</v>
      </c>
      <c r="O5" s="551">
        <f t="shared" si="3"/>
        <v>78134</v>
      </c>
      <c r="P5" s="551">
        <f t="shared" si="4"/>
        <v>287603</v>
      </c>
    </row>
    <row r="6" spans="1:16" x14ac:dyDescent="0.25">
      <c r="A6" s="551" t="s">
        <v>839</v>
      </c>
      <c r="B6" s="551">
        <v>169884</v>
      </c>
      <c r="C6" s="551">
        <v>108921</v>
      </c>
      <c r="D6" s="551">
        <v>15560</v>
      </c>
      <c r="E6" s="551">
        <v>37752</v>
      </c>
      <c r="F6" s="551">
        <v>31120</v>
      </c>
      <c r="G6" s="551">
        <v>2500</v>
      </c>
      <c r="H6" s="551">
        <v>500000</v>
      </c>
      <c r="I6" s="551">
        <f t="shared" si="2"/>
        <v>865737</v>
      </c>
      <c r="J6" s="551">
        <v>1800</v>
      </c>
      <c r="K6" s="551">
        <v>200</v>
      </c>
      <c r="L6" s="551">
        <v>2500</v>
      </c>
      <c r="M6" s="551"/>
      <c r="N6" s="552">
        <v>80783</v>
      </c>
      <c r="O6" s="551">
        <f t="shared" si="3"/>
        <v>85283</v>
      </c>
      <c r="P6" s="551">
        <f t="shared" si="4"/>
        <v>780454</v>
      </c>
    </row>
    <row r="7" spans="1:16" x14ac:dyDescent="0.25">
      <c r="A7" s="551" t="s">
        <v>842</v>
      </c>
      <c r="B7" s="551">
        <v>169884</v>
      </c>
      <c r="C7" s="551">
        <v>108921</v>
      </c>
      <c r="D7" s="551">
        <v>15560</v>
      </c>
      <c r="E7" s="551">
        <v>37752</v>
      </c>
      <c r="F7" s="551">
        <v>31120</v>
      </c>
      <c r="G7" s="551">
        <v>2500</v>
      </c>
      <c r="H7" s="551"/>
      <c r="I7" s="551">
        <f t="shared" si="2"/>
        <v>365737</v>
      </c>
      <c r="J7" s="551">
        <v>1800</v>
      </c>
      <c r="K7" s="551">
        <v>200</v>
      </c>
      <c r="L7" s="551">
        <v>2500</v>
      </c>
      <c r="M7" s="551">
        <v>3588</v>
      </c>
      <c r="N7" s="552">
        <v>92046</v>
      </c>
      <c r="O7" s="551">
        <f t="shared" si="3"/>
        <v>100134</v>
      </c>
      <c r="P7" s="551">
        <f t="shared" si="4"/>
        <v>265603</v>
      </c>
    </row>
    <row r="8" spans="1:16" x14ac:dyDescent="0.25">
      <c r="A8" s="551" t="s">
        <v>845</v>
      </c>
      <c r="B8" s="551">
        <v>254826</v>
      </c>
      <c r="C8" s="551">
        <v>169332</v>
      </c>
      <c r="D8" s="551">
        <v>24191</v>
      </c>
      <c r="E8" s="551">
        <v>-75504</v>
      </c>
      <c r="F8" s="551">
        <v>48382</v>
      </c>
      <c r="G8" s="551">
        <v>2500</v>
      </c>
      <c r="H8" s="551"/>
      <c r="I8" s="551">
        <f t="shared" si="2"/>
        <v>423727</v>
      </c>
      <c r="J8" s="551">
        <v>1800</v>
      </c>
      <c r="K8" s="551">
        <v>200</v>
      </c>
      <c r="L8" s="551">
        <v>2500</v>
      </c>
      <c r="M8" s="551"/>
      <c r="N8" s="552">
        <v>100824</v>
      </c>
      <c r="O8" s="551">
        <f t="shared" si="3"/>
        <v>105324</v>
      </c>
      <c r="P8" s="551">
        <f t="shared" si="4"/>
        <v>318403</v>
      </c>
    </row>
    <row r="9" spans="1:16" x14ac:dyDescent="0.25">
      <c r="A9" s="551" t="s">
        <v>847</v>
      </c>
      <c r="B9" s="551"/>
      <c r="C9" s="551"/>
      <c r="D9" s="551"/>
      <c r="E9" s="551"/>
      <c r="F9" s="551"/>
      <c r="G9" s="551"/>
      <c r="H9" s="551"/>
      <c r="I9" s="551">
        <f t="shared" si="2"/>
        <v>0</v>
      </c>
      <c r="J9" s="551"/>
      <c r="K9" s="551"/>
      <c r="L9" s="551"/>
      <c r="M9" s="551"/>
      <c r="N9" s="552"/>
      <c r="O9" s="551">
        <f t="shared" si="3"/>
        <v>0</v>
      </c>
      <c r="P9" s="551">
        <f t="shared" si="4"/>
        <v>0</v>
      </c>
    </row>
    <row r="10" spans="1:16" x14ac:dyDescent="0.25">
      <c r="A10" s="551" t="s">
        <v>848</v>
      </c>
      <c r="B10" s="551"/>
      <c r="C10" s="551"/>
      <c r="D10" s="551"/>
      <c r="E10" s="551"/>
      <c r="F10" s="551"/>
      <c r="G10" s="551"/>
      <c r="H10" s="551"/>
      <c r="I10" s="551">
        <f t="shared" si="2"/>
        <v>0</v>
      </c>
      <c r="J10" s="551"/>
      <c r="K10" s="551"/>
      <c r="L10" s="551"/>
      <c r="M10" s="551"/>
      <c r="N10" s="552"/>
      <c r="O10" s="551">
        <f t="shared" si="3"/>
        <v>0</v>
      </c>
      <c r="P10" s="551">
        <f t="shared" si="4"/>
        <v>0</v>
      </c>
    </row>
    <row r="11" spans="1:16" x14ac:dyDescent="0.25">
      <c r="A11" s="551" t="s">
        <v>850</v>
      </c>
      <c r="B11" s="551"/>
      <c r="C11" s="551"/>
      <c r="D11" s="551"/>
      <c r="E11" s="551"/>
      <c r="F11" s="551"/>
      <c r="G11" s="551"/>
      <c r="H11" s="551"/>
      <c r="I11" s="551">
        <f t="shared" si="2"/>
        <v>0</v>
      </c>
      <c r="J11" s="551"/>
      <c r="K11" s="551"/>
      <c r="L11" s="551"/>
      <c r="M11" s="551"/>
      <c r="N11" s="552"/>
      <c r="O11" s="551">
        <f t="shared" si="3"/>
        <v>0</v>
      </c>
      <c r="P11" s="551">
        <f t="shared" si="4"/>
        <v>0</v>
      </c>
    </row>
    <row r="12" spans="1:16" x14ac:dyDescent="0.25">
      <c r="A12" s="551" t="s">
        <v>851</v>
      </c>
      <c r="B12" s="551"/>
      <c r="C12" s="551"/>
      <c r="D12" s="551"/>
      <c r="E12" s="551"/>
      <c r="F12" s="551"/>
      <c r="G12" s="551"/>
      <c r="H12" s="551"/>
      <c r="I12" s="551">
        <f t="shared" si="2"/>
        <v>0</v>
      </c>
      <c r="J12" s="551"/>
      <c r="K12" s="551"/>
      <c r="L12" s="551"/>
      <c r="M12" s="551"/>
      <c r="N12" s="552"/>
      <c r="O12" s="551">
        <f t="shared" si="3"/>
        <v>0</v>
      </c>
      <c r="P12" s="551">
        <f t="shared" si="4"/>
        <v>0</v>
      </c>
    </row>
    <row r="13" spans="1:16" x14ac:dyDescent="0.25">
      <c r="A13" s="551" t="s">
        <v>852</v>
      </c>
      <c r="B13" s="551"/>
      <c r="C13" s="551"/>
      <c r="D13" s="551"/>
      <c r="E13" s="551"/>
      <c r="F13" s="551"/>
      <c r="G13" s="551"/>
      <c r="H13" s="551"/>
      <c r="I13" s="551">
        <f t="shared" si="2"/>
        <v>0</v>
      </c>
      <c r="J13" s="551"/>
      <c r="K13" s="551"/>
      <c r="L13" s="551"/>
      <c r="M13" s="551"/>
      <c r="N13" s="552"/>
      <c r="O13" s="551">
        <f t="shared" si="3"/>
        <v>0</v>
      </c>
      <c r="P13" s="551">
        <f t="shared" si="4"/>
        <v>0</v>
      </c>
    </row>
    <row r="14" spans="1:16" x14ac:dyDescent="0.25">
      <c r="A14" s="551" t="s">
        <v>853</v>
      </c>
      <c r="B14" s="551"/>
      <c r="C14" s="551"/>
      <c r="D14" s="551"/>
      <c r="E14" s="551"/>
      <c r="F14" s="551"/>
      <c r="G14" s="551"/>
      <c r="H14" s="551"/>
      <c r="I14" s="551">
        <f t="shared" si="2"/>
        <v>0</v>
      </c>
      <c r="J14" s="551"/>
      <c r="K14" s="551"/>
      <c r="L14" s="551"/>
      <c r="M14" s="551"/>
      <c r="N14" s="552"/>
      <c r="O14" s="551">
        <f t="shared" si="3"/>
        <v>0</v>
      </c>
      <c r="P14" s="551">
        <f t="shared" si="4"/>
        <v>0</v>
      </c>
    </row>
  </sheetData>
  <phoneticPr fontId="5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5D0D-A534-400E-BD0F-76AF3A2F80D9}">
  <dimension ref="A1:C9"/>
  <sheetViews>
    <sheetView workbookViewId="0">
      <selection activeCell="B4" sqref="B4"/>
    </sheetView>
  </sheetViews>
  <sheetFormatPr defaultRowHeight="15" x14ac:dyDescent="0.25"/>
  <cols>
    <col min="1" max="1" width="27.140625" customWidth="1"/>
  </cols>
  <sheetData>
    <row r="1" spans="1:3" x14ac:dyDescent="0.25">
      <c r="A1" t="s">
        <v>489</v>
      </c>
      <c r="B1">
        <v>1000000</v>
      </c>
    </row>
    <row r="2" spans="1:3" x14ac:dyDescent="0.25">
      <c r="A2" t="s">
        <v>572</v>
      </c>
      <c r="B2">
        <v>500000</v>
      </c>
    </row>
    <row r="3" spans="1:3" x14ac:dyDescent="0.25">
      <c r="A3" t="s">
        <v>573</v>
      </c>
      <c r="B3">
        <v>-100000</v>
      </c>
    </row>
    <row r="4" spans="1:3" x14ac:dyDescent="0.25">
      <c r="A4" t="s">
        <v>380</v>
      </c>
      <c r="C4">
        <v>-50000</v>
      </c>
    </row>
    <row r="5" spans="1:3" x14ac:dyDescent="0.25">
      <c r="A5" t="s">
        <v>574</v>
      </c>
      <c r="B5">
        <v>-300000</v>
      </c>
    </row>
    <row r="6" spans="1:3" x14ac:dyDescent="0.25">
      <c r="A6" t="s">
        <v>193</v>
      </c>
      <c r="B6">
        <v>-50000</v>
      </c>
    </row>
    <row r="7" spans="1:3" x14ac:dyDescent="0.25">
      <c r="A7" t="s">
        <v>291</v>
      </c>
      <c r="C7">
        <v>-85000</v>
      </c>
    </row>
    <row r="9" spans="1:3" x14ac:dyDescent="0.25">
      <c r="A9" t="s">
        <v>0</v>
      </c>
      <c r="B9">
        <f>B1-B2+SUM(B3:B8)</f>
        <v>50000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41AD-5B19-4815-9E69-44EC79970245}">
  <dimension ref="A1:M50"/>
  <sheetViews>
    <sheetView workbookViewId="0">
      <pane ySplit="1" topLeftCell="A8" activePane="bottomLeft" state="frozen"/>
      <selection pane="bottomLeft" activeCell="G25" sqref="G25"/>
    </sheetView>
  </sheetViews>
  <sheetFormatPr defaultRowHeight="15" x14ac:dyDescent="0.25"/>
  <cols>
    <col min="3" max="3" width="29.7109375" customWidth="1"/>
    <col min="4" max="4" width="18.5703125" customWidth="1"/>
    <col min="6" max="6" width="21.7109375" customWidth="1"/>
    <col min="7" max="7" width="23.85546875" customWidth="1"/>
    <col min="10" max="10" width="11.28515625" bestFit="1" customWidth="1"/>
    <col min="12" max="12" width="25.85546875" bestFit="1" customWidth="1"/>
    <col min="13" max="13" width="16.7109375" customWidth="1"/>
  </cols>
  <sheetData>
    <row r="1" spans="1:10" ht="21" x14ac:dyDescent="0.35">
      <c r="A1" s="523" t="s">
        <v>1</v>
      </c>
      <c r="B1" s="523" t="s">
        <v>575</v>
      </c>
      <c r="C1" s="523" t="s">
        <v>18</v>
      </c>
      <c r="D1" s="524">
        <f>SUM(D2:D50)</f>
        <v>149251.71999999997</v>
      </c>
      <c r="F1" s="523" t="s">
        <v>18</v>
      </c>
      <c r="G1" s="524">
        <f>SUM(G2:G30)</f>
        <v>43093.820000000036</v>
      </c>
      <c r="I1" s="523" t="s">
        <v>576</v>
      </c>
      <c r="J1" s="524">
        <f>SUM(J2:J37)</f>
        <v>1917</v>
      </c>
    </row>
    <row r="2" spans="1:10" x14ac:dyDescent="0.25">
      <c r="A2" s="179">
        <v>45424</v>
      </c>
      <c r="B2" s="179" t="s">
        <v>577</v>
      </c>
      <c r="C2" s="1" t="s">
        <v>578</v>
      </c>
      <c r="D2" s="15">
        <v>3505</v>
      </c>
      <c r="F2" s="1" t="s">
        <v>579</v>
      </c>
      <c r="G2" s="15">
        <v>-28000</v>
      </c>
      <c r="I2" s="528">
        <v>45427</v>
      </c>
      <c r="J2" s="526">
        <v>60</v>
      </c>
    </row>
    <row r="3" spans="1:10" x14ac:dyDescent="0.25">
      <c r="A3" s="179">
        <v>45426</v>
      </c>
      <c r="B3" s="179" t="s">
        <v>577</v>
      </c>
      <c r="C3" s="1" t="s">
        <v>580</v>
      </c>
      <c r="D3" s="15">
        <v>4104</v>
      </c>
      <c r="F3" s="1" t="s">
        <v>579</v>
      </c>
      <c r="G3" s="15">
        <v>-35000</v>
      </c>
      <c r="I3" s="528">
        <v>45427</v>
      </c>
      <c r="J3" s="526">
        <v>70</v>
      </c>
    </row>
    <row r="4" spans="1:10" x14ac:dyDescent="0.25">
      <c r="A4" s="179">
        <v>45433</v>
      </c>
      <c r="B4" s="1" t="s">
        <v>577</v>
      </c>
      <c r="C4" s="1" t="s">
        <v>581</v>
      </c>
      <c r="D4" s="15">
        <v>4000</v>
      </c>
      <c r="F4" s="1" t="s">
        <v>582</v>
      </c>
      <c r="G4" s="15">
        <v>-5254</v>
      </c>
      <c r="I4" s="528">
        <v>45427</v>
      </c>
      <c r="J4" s="526">
        <v>95</v>
      </c>
    </row>
    <row r="5" spans="1:10" x14ac:dyDescent="0.25">
      <c r="A5" s="179">
        <v>45433</v>
      </c>
      <c r="B5" s="179" t="s">
        <v>577</v>
      </c>
      <c r="C5" s="1" t="s">
        <v>583</v>
      </c>
      <c r="D5" s="15">
        <v>5312.96</v>
      </c>
      <c r="F5" s="1" t="s">
        <v>584</v>
      </c>
      <c r="G5" s="15">
        <v>41688</v>
      </c>
      <c r="I5" s="528">
        <v>45427</v>
      </c>
      <c r="J5" s="526">
        <v>125</v>
      </c>
    </row>
    <row r="6" spans="1:10" x14ac:dyDescent="0.25">
      <c r="A6" s="179">
        <v>45433</v>
      </c>
      <c r="B6" s="179" t="s">
        <v>577</v>
      </c>
      <c r="C6" s="1" t="s">
        <v>585</v>
      </c>
      <c r="D6" s="15">
        <v>4778.34</v>
      </c>
      <c r="F6" s="1" t="s">
        <v>586</v>
      </c>
      <c r="G6" s="15">
        <v>180000</v>
      </c>
      <c r="I6" s="528">
        <v>45427</v>
      </c>
      <c r="J6" s="526">
        <v>115</v>
      </c>
    </row>
    <row r="7" spans="1:10" x14ac:dyDescent="0.25">
      <c r="A7" s="179">
        <v>45439</v>
      </c>
      <c r="B7" s="179" t="s">
        <v>577</v>
      </c>
      <c r="C7" s="1" t="s">
        <v>587</v>
      </c>
      <c r="D7" s="15">
        <v>1649</v>
      </c>
      <c r="F7" s="1" t="s">
        <v>588</v>
      </c>
      <c r="G7" s="15">
        <v>-43500</v>
      </c>
      <c r="I7" s="528">
        <v>45428</v>
      </c>
      <c r="J7" s="526">
        <v>72</v>
      </c>
    </row>
    <row r="8" spans="1:10" x14ac:dyDescent="0.25">
      <c r="A8" s="179">
        <v>45439</v>
      </c>
      <c r="B8" s="179" t="s">
        <v>577</v>
      </c>
      <c r="C8" s="1" t="s">
        <v>589</v>
      </c>
      <c r="D8" s="15">
        <v>500</v>
      </c>
      <c r="F8" s="1" t="s">
        <v>590</v>
      </c>
      <c r="G8" s="15">
        <v>41164</v>
      </c>
      <c r="I8" s="528">
        <v>45433</v>
      </c>
      <c r="J8" s="526">
        <v>155</v>
      </c>
    </row>
    <row r="9" spans="1:10" x14ac:dyDescent="0.25">
      <c r="A9" s="179">
        <v>45440</v>
      </c>
      <c r="B9" s="1" t="s">
        <v>577</v>
      </c>
      <c r="C9" s="1" t="s">
        <v>591</v>
      </c>
      <c r="D9" s="15">
        <v>4142.3100000000004</v>
      </c>
      <c r="F9" s="1" t="s">
        <v>592</v>
      </c>
      <c r="G9" s="15">
        <v>80000</v>
      </c>
      <c r="I9" s="528">
        <v>45433</v>
      </c>
      <c r="J9" s="526">
        <v>70</v>
      </c>
    </row>
    <row r="10" spans="1:10" x14ac:dyDescent="0.25">
      <c r="A10" s="179">
        <v>45440</v>
      </c>
      <c r="B10" s="1" t="s">
        <v>577</v>
      </c>
      <c r="C10" s="1" t="s">
        <v>593</v>
      </c>
      <c r="D10" s="15">
        <v>567</v>
      </c>
      <c r="F10" s="1" t="s">
        <v>594</v>
      </c>
      <c r="G10" s="15">
        <v>-2052.96</v>
      </c>
      <c r="I10" s="528">
        <v>45433</v>
      </c>
      <c r="J10" s="526">
        <v>65</v>
      </c>
    </row>
    <row r="11" spans="1:10" x14ac:dyDescent="0.25">
      <c r="A11" s="179">
        <v>45441</v>
      </c>
      <c r="B11" s="1" t="s">
        <v>577</v>
      </c>
      <c r="C11" s="1" t="s">
        <v>587</v>
      </c>
      <c r="D11" s="15">
        <v>15811.75</v>
      </c>
      <c r="F11" s="1" t="s">
        <v>594</v>
      </c>
      <c r="G11" s="15">
        <v>-300</v>
      </c>
      <c r="I11" s="528">
        <v>45433</v>
      </c>
      <c r="J11" s="526">
        <v>30</v>
      </c>
    </row>
    <row r="12" spans="1:10" x14ac:dyDescent="0.25">
      <c r="A12" s="179">
        <v>45441</v>
      </c>
      <c r="B12" s="1" t="s">
        <v>577</v>
      </c>
      <c r="C12" s="1" t="s">
        <v>587</v>
      </c>
      <c r="D12" s="15">
        <v>19149</v>
      </c>
      <c r="F12" s="1" t="s">
        <v>595</v>
      </c>
      <c r="G12" s="15">
        <f>-J1</f>
        <v>-1917</v>
      </c>
      <c r="I12" s="528">
        <v>45433</v>
      </c>
      <c r="J12" s="526">
        <v>35</v>
      </c>
    </row>
    <row r="13" spans="1:10" x14ac:dyDescent="0.25">
      <c r="A13" s="179">
        <v>45441</v>
      </c>
      <c r="B13" s="1" t="s">
        <v>577</v>
      </c>
      <c r="C13" s="1" t="s">
        <v>596</v>
      </c>
      <c r="D13" s="15">
        <v>1400</v>
      </c>
      <c r="F13" s="1" t="s">
        <v>597</v>
      </c>
      <c r="G13" s="15">
        <v>-5000</v>
      </c>
      <c r="I13" s="528">
        <v>45433</v>
      </c>
      <c r="J13" s="526">
        <v>75</v>
      </c>
    </row>
    <row r="14" spans="1:10" x14ac:dyDescent="0.25">
      <c r="A14" s="179">
        <v>45441</v>
      </c>
      <c r="B14" s="1" t="s">
        <v>577</v>
      </c>
      <c r="C14" s="1" t="s">
        <v>596</v>
      </c>
      <c r="D14" s="15">
        <v>1125</v>
      </c>
      <c r="F14" s="1" t="s">
        <v>598</v>
      </c>
      <c r="G14" s="15">
        <v>25000</v>
      </c>
      <c r="I14" s="528">
        <v>45440</v>
      </c>
      <c r="J14" s="526">
        <v>115</v>
      </c>
    </row>
    <row r="15" spans="1:10" x14ac:dyDescent="0.25">
      <c r="A15" s="179">
        <v>45442</v>
      </c>
      <c r="B15" s="1" t="s">
        <v>577</v>
      </c>
      <c r="C15" s="1" t="s">
        <v>599</v>
      </c>
      <c r="D15" s="15">
        <v>4183.2</v>
      </c>
      <c r="F15" s="1" t="s">
        <v>600</v>
      </c>
      <c r="G15" s="15">
        <v>-650</v>
      </c>
      <c r="I15" s="528">
        <v>45440</v>
      </c>
      <c r="J15" s="526">
        <v>125</v>
      </c>
    </row>
    <row r="16" spans="1:10" x14ac:dyDescent="0.25">
      <c r="A16" s="179">
        <v>45446</v>
      </c>
      <c r="B16" s="1" t="s">
        <v>577</v>
      </c>
      <c r="C16" s="1" t="s">
        <v>601</v>
      </c>
      <c r="D16" s="15">
        <v>3045.52</v>
      </c>
      <c r="F16" s="1" t="s">
        <v>600</v>
      </c>
      <c r="G16" s="15">
        <v>-490</v>
      </c>
      <c r="I16" s="528">
        <v>45440</v>
      </c>
      <c r="J16" s="526">
        <v>95</v>
      </c>
    </row>
    <row r="17" spans="1:13" x14ac:dyDescent="0.25">
      <c r="A17" s="179">
        <v>45447</v>
      </c>
      <c r="B17" s="1" t="s">
        <v>577</v>
      </c>
      <c r="C17" s="1" t="s">
        <v>587</v>
      </c>
      <c r="D17" s="15">
        <v>19149</v>
      </c>
      <c r="F17" s="1" t="s">
        <v>602</v>
      </c>
      <c r="G17" s="15">
        <v>-45000</v>
      </c>
      <c r="I17" s="528">
        <v>45440</v>
      </c>
      <c r="J17" s="526">
        <v>140</v>
      </c>
      <c r="L17" s="526" t="s">
        <v>603</v>
      </c>
      <c r="M17" s="527">
        <v>7901.49</v>
      </c>
    </row>
    <row r="18" spans="1:13" x14ac:dyDescent="0.25">
      <c r="A18" s="179">
        <v>45447</v>
      </c>
      <c r="B18" s="1" t="s">
        <v>577</v>
      </c>
      <c r="C18" s="1" t="s">
        <v>587</v>
      </c>
      <c r="D18" s="15">
        <v>500</v>
      </c>
      <c r="F18" s="1" t="s">
        <v>604</v>
      </c>
      <c r="G18" s="15">
        <v>-2000</v>
      </c>
      <c r="I18" s="528">
        <v>45442</v>
      </c>
      <c r="J18" s="526">
        <v>140</v>
      </c>
      <c r="L18" s="526" t="s">
        <v>605</v>
      </c>
      <c r="M18" s="527">
        <v>139024.45000000001</v>
      </c>
    </row>
    <row r="19" spans="1:13" x14ac:dyDescent="0.25">
      <c r="A19" s="179">
        <v>45447</v>
      </c>
      <c r="B19" s="1" t="s">
        <v>577</v>
      </c>
      <c r="C19" s="1" t="s">
        <v>587</v>
      </c>
      <c r="D19" s="15">
        <v>16224</v>
      </c>
      <c r="F19" s="1" t="s">
        <v>606</v>
      </c>
      <c r="G19" s="15">
        <v>-770</v>
      </c>
      <c r="I19" s="528">
        <v>45442</v>
      </c>
      <c r="J19" s="526">
        <v>95</v>
      </c>
      <c r="L19" s="526" t="s">
        <v>607</v>
      </c>
      <c r="M19" s="527">
        <f>M18-M17</f>
        <v>131122.96000000002</v>
      </c>
    </row>
    <row r="20" spans="1:13" x14ac:dyDescent="0.25">
      <c r="A20" s="179">
        <v>45447</v>
      </c>
      <c r="B20" s="1" t="s">
        <v>577</v>
      </c>
      <c r="C20" s="1" t="s">
        <v>608</v>
      </c>
      <c r="D20" s="15">
        <v>6346</v>
      </c>
      <c r="F20" s="1" t="s">
        <v>609</v>
      </c>
      <c r="G20" s="15">
        <v>-418.5</v>
      </c>
      <c r="I20" s="528">
        <v>45442</v>
      </c>
      <c r="J20" s="526">
        <v>125</v>
      </c>
    </row>
    <row r="21" spans="1:13" x14ac:dyDescent="0.25">
      <c r="A21" s="179">
        <v>45447</v>
      </c>
      <c r="B21" s="179" t="s">
        <v>577</v>
      </c>
      <c r="C21" s="1" t="s">
        <v>610</v>
      </c>
      <c r="D21" s="15">
        <v>4398</v>
      </c>
      <c r="F21" s="1" t="s">
        <v>611</v>
      </c>
      <c r="G21" s="15">
        <v>-240</v>
      </c>
      <c r="I21" s="528">
        <v>45442</v>
      </c>
      <c r="J21" s="526">
        <v>115</v>
      </c>
    </row>
    <row r="22" spans="1:13" x14ac:dyDescent="0.25">
      <c r="A22" s="179">
        <v>45447</v>
      </c>
      <c r="B22" s="1" t="s">
        <v>577</v>
      </c>
      <c r="C22" s="1" t="s">
        <v>58</v>
      </c>
      <c r="D22" s="15">
        <v>458</v>
      </c>
      <c r="F22" s="1" t="s">
        <v>611</v>
      </c>
      <c r="G22" s="15">
        <v>-937</v>
      </c>
      <c r="I22" s="526"/>
      <c r="J22" s="526"/>
    </row>
    <row r="23" spans="1:13" x14ac:dyDescent="0.25">
      <c r="A23" s="179">
        <v>45447</v>
      </c>
      <c r="B23" s="1" t="s">
        <v>577</v>
      </c>
      <c r="C23" s="1" t="s">
        <v>58</v>
      </c>
      <c r="D23" s="15">
        <v>272</v>
      </c>
      <c r="F23" s="1" t="s">
        <v>612</v>
      </c>
      <c r="G23" s="15">
        <f>-D1</f>
        <v>-149251.71999999997</v>
      </c>
      <c r="I23" s="526"/>
      <c r="J23" s="526"/>
    </row>
    <row r="24" spans="1:13" x14ac:dyDescent="0.25">
      <c r="A24" s="179">
        <v>45448</v>
      </c>
      <c r="B24" s="1" t="s">
        <v>577</v>
      </c>
      <c r="C24" s="1" t="s">
        <v>613</v>
      </c>
      <c r="D24" s="15">
        <v>1106</v>
      </c>
      <c r="F24" s="1" t="s">
        <v>614</v>
      </c>
      <c r="G24" s="15">
        <v>-3977</v>
      </c>
      <c r="I24" s="526"/>
      <c r="J24" s="526"/>
    </row>
    <row r="25" spans="1:13" x14ac:dyDescent="0.25">
      <c r="A25" s="179">
        <v>45448</v>
      </c>
      <c r="B25" s="1" t="s">
        <v>577</v>
      </c>
      <c r="C25" s="1" t="s">
        <v>615</v>
      </c>
      <c r="D25" s="15">
        <v>1050</v>
      </c>
      <c r="F25" s="1"/>
      <c r="G25" s="15"/>
      <c r="I25" s="526"/>
      <c r="J25" s="526"/>
    </row>
    <row r="26" spans="1:13" x14ac:dyDescent="0.25">
      <c r="A26" s="179">
        <v>45448</v>
      </c>
      <c r="B26" s="1" t="s">
        <v>577</v>
      </c>
      <c r="C26" s="1" t="s">
        <v>616</v>
      </c>
      <c r="D26" s="15">
        <v>3164</v>
      </c>
      <c r="F26" s="1"/>
      <c r="G26" s="15"/>
      <c r="I26" s="526"/>
      <c r="J26" s="526"/>
    </row>
    <row r="27" spans="1:13" x14ac:dyDescent="0.25">
      <c r="A27" s="179">
        <v>45449</v>
      </c>
      <c r="B27" s="1" t="s">
        <v>577</v>
      </c>
      <c r="C27" s="1" t="s">
        <v>585</v>
      </c>
      <c r="D27" s="15">
        <v>2916.9</v>
      </c>
      <c r="F27" s="1"/>
      <c r="G27" s="15"/>
      <c r="I27" s="526"/>
      <c r="J27" s="526"/>
    </row>
    <row r="28" spans="1:13" x14ac:dyDescent="0.25">
      <c r="A28" s="179">
        <v>45449</v>
      </c>
      <c r="B28" s="1" t="s">
        <v>577</v>
      </c>
      <c r="C28" s="1" t="s">
        <v>617</v>
      </c>
      <c r="D28" s="15">
        <v>2300</v>
      </c>
      <c r="F28" s="1"/>
      <c r="G28" s="15"/>
      <c r="I28" s="526"/>
      <c r="J28" s="526"/>
    </row>
    <row r="29" spans="1:13" x14ac:dyDescent="0.25">
      <c r="A29" s="179">
        <v>45450</v>
      </c>
      <c r="B29" s="1" t="s">
        <v>577</v>
      </c>
      <c r="C29" s="1" t="s">
        <v>528</v>
      </c>
      <c r="D29" s="15">
        <v>3328.93</v>
      </c>
      <c r="F29" s="1"/>
      <c r="G29" s="15"/>
      <c r="I29" s="526"/>
      <c r="J29" s="526"/>
    </row>
    <row r="30" spans="1:13" x14ac:dyDescent="0.25">
      <c r="A30" s="179">
        <v>45454</v>
      </c>
      <c r="B30" s="1" t="s">
        <v>577</v>
      </c>
      <c r="C30" s="1" t="s">
        <v>618</v>
      </c>
      <c r="D30" s="15">
        <v>6182</v>
      </c>
      <c r="F30" s="1"/>
      <c r="G30" s="15"/>
      <c r="I30" s="526"/>
      <c r="J30" s="526"/>
    </row>
    <row r="31" spans="1:13" x14ac:dyDescent="0.25">
      <c r="A31" s="179">
        <v>45453</v>
      </c>
      <c r="B31" s="1" t="s">
        <v>577</v>
      </c>
      <c r="C31" s="1" t="s">
        <v>619</v>
      </c>
      <c r="D31" s="15">
        <v>4629.79</v>
      </c>
      <c r="I31" s="526"/>
      <c r="J31" s="526"/>
    </row>
    <row r="32" spans="1:13" x14ac:dyDescent="0.25">
      <c r="A32" s="179">
        <v>45457</v>
      </c>
      <c r="B32" s="1" t="s">
        <v>577</v>
      </c>
      <c r="C32" s="1" t="s">
        <v>620</v>
      </c>
      <c r="D32" s="15">
        <v>773</v>
      </c>
      <c r="I32" s="526"/>
      <c r="J32" s="526"/>
    </row>
    <row r="33" spans="1:10" x14ac:dyDescent="0.25">
      <c r="A33" s="179">
        <v>45457</v>
      </c>
      <c r="B33" s="1" t="s">
        <v>577</v>
      </c>
      <c r="C33" s="1" t="s">
        <v>621</v>
      </c>
      <c r="D33" s="15">
        <v>2703.02</v>
      </c>
      <c r="I33" s="526"/>
      <c r="J33" s="526"/>
    </row>
    <row r="34" spans="1:10" x14ac:dyDescent="0.25">
      <c r="A34" s="179">
        <v>45458</v>
      </c>
      <c r="B34" s="1" t="s">
        <v>577</v>
      </c>
      <c r="C34" s="1" t="s">
        <v>593</v>
      </c>
      <c r="D34" s="15">
        <v>478</v>
      </c>
      <c r="I34" s="526"/>
      <c r="J34" s="526"/>
    </row>
    <row r="35" spans="1:10" x14ac:dyDescent="0.25">
      <c r="A35" s="1"/>
      <c r="B35" s="1"/>
      <c r="C35" s="1"/>
      <c r="D35" s="15"/>
      <c r="I35" s="526"/>
      <c r="J35" s="526"/>
    </row>
    <row r="36" spans="1:10" x14ac:dyDescent="0.25">
      <c r="A36" s="1"/>
      <c r="B36" s="1"/>
      <c r="C36" s="1"/>
      <c r="D36" s="15"/>
      <c r="I36" s="526"/>
      <c r="J36" s="526"/>
    </row>
    <row r="37" spans="1:10" x14ac:dyDescent="0.25">
      <c r="A37" s="1"/>
      <c r="B37" s="1"/>
      <c r="C37" s="1"/>
      <c r="D37" s="15"/>
      <c r="I37" s="526"/>
      <c r="J37" s="526"/>
    </row>
    <row r="38" spans="1:10" x14ac:dyDescent="0.25">
      <c r="A38" s="1"/>
      <c r="B38" s="1"/>
      <c r="C38" s="1"/>
      <c r="D38" s="15"/>
    </row>
    <row r="39" spans="1:10" x14ac:dyDescent="0.25">
      <c r="A39" s="1"/>
      <c r="B39" s="1"/>
      <c r="C39" s="1"/>
      <c r="D39" s="15"/>
    </row>
    <row r="40" spans="1:10" x14ac:dyDescent="0.25">
      <c r="A40" s="1"/>
      <c r="B40" s="1"/>
      <c r="C40" s="1"/>
      <c r="D40" s="15"/>
    </row>
    <row r="41" spans="1:10" x14ac:dyDescent="0.25">
      <c r="A41" s="1"/>
      <c r="B41" s="1"/>
      <c r="C41" s="1"/>
      <c r="D41" s="15"/>
    </row>
    <row r="42" spans="1:10" x14ac:dyDescent="0.25">
      <c r="A42" s="1"/>
      <c r="B42" s="1"/>
      <c r="C42" s="1"/>
      <c r="D42" s="15"/>
    </row>
    <row r="43" spans="1:10" x14ac:dyDescent="0.25">
      <c r="A43" s="1"/>
      <c r="B43" s="1"/>
      <c r="C43" s="1"/>
      <c r="D43" s="15"/>
    </row>
    <row r="44" spans="1:10" x14ac:dyDescent="0.25">
      <c r="A44" s="1"/>
      <c r="B44" s="1"/>
      <c r="C44" s="1"/>
      <c r="D44" s="15"/>
    </row>
    <row r="45" spans="1:10" x14ac:dyDescent="0.25">
      <c r="A45" s="1"/>
      <c r="B45" s="1"/>
      <c r="C45" s="1"/>
      <c r="D45" s="15"/>
    </row>
    <row r="46" spans="1:10" x14ac:dyDescent="0.25">
      <c r="A46" s="1"/>
      <c r="B46" s="1"/>
      <c r="C46" s="1"/>
      <c r="D46" s="15"/>
    </row>
    <row r="47" spans="1:10" x14ac:dyDescent="0.25">
      <c r="A47" s="1"/>
      <c r="B47" s="1"/>
      <c r="C47" s="1"/>
      <c r="D47" s="15"/>
    </row>
    <row r="48" spans="1:10" x14ac:dyDescent="0.25">
      <c r="A48" s="1"/>
      <c r="B48" s="1"/>
      <c r="C48" s="1"/>
      <c r="D48" s="15"/>
    </row>
    <row r="49" spans="1:4" x14ac:dyDescent="0.25">
      <c r="A49" s="1"/>
      <c r="B49" s="1"/>
      <c r="C49" s="1"/>
      <c r="D49" s="15"/>
    </row>
    <row r="50" spans="1:4" x14ac:dyDescent="0.25">
      <c r="A50" s="1"/>
      <c r="B50" s="1"/>
      <c r="C50" s="1"/>
      <c r="D50" s="15"/>
    </row>
  </sheetData>
  <sortState xmlns:xlrd2="http://schemas.microsoft.com/office/spreadsheetml/2017/richdata2" ref="A2:D31">
    <sortCondition ref="A2:A3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CBED7-15FB-4AE4-8C75-A09A2373165E}">
  <dimension ref="A1:R234"/>
  <sheetViews>
    <sheetView zoomScaleNormal="100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D119" sqref="D119:D123"/>
    </sheetView>
  </sheetViews>
  <sheetFormatPr defaultRowHeight="15" x14ac:dyDescent="0.25"/>
  <cols>
    <col min="2" max="2" width="15.85546875" bestFit="1" customWidth="1"/>
    <col min="3" max="3" width="11.7109375" bestFit="1" customWidth="1"/>
    <col min="4" max="4" width="9.140625" style="11"/>
    <col min="6" max="6" width="9.140625" style="520"/>
    <col min="9" max="9" width="10.42578125" bestFit="1" customWidth="1"/>
  </cols>
  <sheetData>
    <row r="1" spans="1:15" x14ac:dyDescent="0.25">
      <c r="D1" s="11">
        <f>SUM(D3:D234)</f>
        <v>2787.2799999999993</v>
      </c>
      <c r="G1">
        <f>SUM(G3:G234)</f>
        <v>1858.38</v>
      </c>
      <c r="I1">
        <v>6000</v>
      </c>
      <c r="J1">
        <f>SUM(J3:J45)</f>
        <v>2580</v>
      </c>
      <c r="K1">
        <v>601</v>
      </c>
      <c r="L1">
        <v>267</v>
      </c>
      <c r="M1">
        <v>200</v>
      </c>
      <c r="O1">
        <f>I1-SUM(J1:M1)</f>
        <v>2352</v>
      </c>
    </row>
    <row r="2" spans="1:15" x14ac:dyDescent="0.25">
      <c r="A2" s="38" t="s">
        <v>1</v>
      </c>
      <c r="B2" s="38" t="s">
        <v>622</v>
      </c>
      <c r="C2" s="38" t="s">
        <v>623</v>
      </c>
      <c r="D2" s="38" t="s">
        <v>211</v>
      </c>
      <c r="E2" s="38" t="s">
        <v>624</v>
      </c>
      <c r="F2" s="43" t="s">
        <v>625</v>
      </c>
      <c r="G2" s="38" t="s">
        <v>626</v>
      </c>
      <c r="I2" t="s">
        <v>1</v>
      </c>
      <c r="J2" t="s">
        <v>627</v>
      </c>
    </row>
    <row r="3" spans="1:15" x14ac:dyDescent="0.25">
      <c r="A3" s="179">
        <v>45304</v>
      </c>
      <c r="B3" s="23" t="s">
        <v>628</v>
      </c>
      <c r="C3" s="1" t="s">
        <v>629</v>
      </c>
      <c r="D3" s="15">
        <v>9.98</v>
      </c>
      <c r="E3" s="1" t="s">
        <v>50</v>
      </c>
      <c r="F3" s="521" t="s">
        <v>630</v>
      </c>
      <c r="G3" s="1"/>
      <c r="I3" s="162">
        <v>45304</v>
      </c>
      <c r="J3">
        <v>60</v>
      </c>
    </row>
    <row r="4" spans="1:15" x14ac:dyDescent="0.25">
      <c r="A4" s="179">
        <v>45304</v>
      </c>
      <c r="B4" s="23" t="s">
        <v>631</v>
      </c>
      <c r="C4" s="1" t="s">
        <v>632</v>
      </c>
      <c r="D4" s="15">
        <v>13.63</v>
      </c>
      <c r="E4" s="1" t="s">
        <v>552</v>
      </c>
      <c r="F4" s="521">
        <v>6416</v>
      </c>
      <c r="G4" s="1"/>
      <c r="I4" s="162">
        <v>45305</v>
      </c>
      <c r="J4">
        <v>60</v>
      </c>
    </row>
    <row r="5" spans="1:15" x14ac:dyDescent="0.25">
      <c r="A5" s="179">
        <v>45305</v>
      </c>
      <c r="B5" s="23" t="s">
        <v>134</v>
      </c>
      <c r="C5" s="1" t="s">
        <v>632</v>
      </c>
      <c r="D5" s="15">
        <v>9.32</v>
      </c>
      <c r="E5" s="1" t="s">
        <v>552</v>
      </c>
      <c r="F5" s="521">
        <v>6416</v>
      </c>
      <c r="G5" s="1"/>
      <c r="I5" s="162">
        <v>45306</v>
      </c>
      <c r="J5">
        <v>60</v>
      </c>
    </row>
    <row r="6" spans="1:15" x14ac:dyDescent="0.25">
      <c r="A6" s="179">
        <v>45305</v>
      </c>
      <c r="B6" s="23" t="s">
        <v>633</v>
      </c>
      <c r="C6" s="1" t="s">
        <v>632</v>
      </c>
      <c r="D6" s="15">
        <v>18.7</v>
      </c>
      <c r="E6" s="1" t="s">
        <v>552</v>
      </c>
      <c r="F6" s="521">
        <v>6416</v>
      </c>
      <c r="G6" s="1"/>
      <c r="I6" s="162">
        <v>45307</v>
      </c>
      <c r="J6">
        <v>60</v>
      </c>
    </row>
    <row r="7" spans="1:15" x14ac:dyDescent="0.25">
      <c r="A7" s="179">
        <v>45306</v>
      </c>
      <c r="B7" s="1" t="s">
        <v>634</v>
      </c>
      <c r="C7" s="1" t="s">
        <v>632</v>
      </c>
      <c r="D7" s="15">
        <v>0</v>
      </c>
      <c r="E7" s="1" t="s">
        <v>552</v>
      </c>
      <c r="F7" s="521">
        <v>6416</v>
      </c>
      <c r="G7" s="1">
        <v>55.56</v>
      </c>
      <c r="I7" s="162">
        <v>45308</v>
      </c>
      <c r="J7">
        <v>60</v>
      </c>
    </row>
    <row r="8" spans="1:15" x14ac:dyDescent="0.25">
      <c r="A8" s="179">
        <v>45306</v>
      </c>
      <c r="B8" s="1" t="s">
        <v>635</v>
      </c>
      <c r="C8" s="1" t="s">
        <v>632</v>
      </c>
      <c r="D8" s="15">
        <v>39.33</v>
      </c>
      <c r="E8" s="1" t="s">
        <v>50</v>
      </c>
      <c r="F8" s="521" t="s">
        <v>636</v>
      </c>
      <c r="G8" s="1"/>
      <c r="I8" s="162">
        <v>45309</v>
      </c>
      <c r="J8">
        <v>60</v>
      </c>
    </row>
    <row r="9" spans="1:15" x14ac:dyDescent="0.25">
      <c r="A9" s="179">
        <v>45306</v>
      </c>
      <c r="B9" s="1" t="s">
        <v>637</v>
      </c>
      <c r="C9" s="1" t="s">
        <v>632</v>
      </c>
      <c r="D9" s="15">
        <v>32.47</v>
      </c>
      <c r="E9" s="1" t="s">
        <v>552</v>
      </c>
      <c r="F9" s="521">
        <v>6416</v>
      </c>
      <c r="G9" s="1"/>
      <c r="I9" s="162">
        <v>45310</v>
      </c>
      <c r="J9">
        <v>60</v>
      </c>
    </row>
    <row r="10" spans="1:15" x14ac:dyDescent="0.25">
      <c r="A10" s="179">
        <v>45307</v>
      </c>
      <c r="B10" s="1" t="s">
        <v>638</v>
      </c>
      <c r="C10" s="1" t="s">
        <v>632</v>
      </c>
      <c r="D10" s="15">
        <v>4.83</v>
      </c>
      <c r="E10" s="1" t="s">
        <v>552</v>
      </c>
      <c r="F10" s="521">
        <v>6416</v>
      </c>
      <c r="G10" s="1"/>
      <c r="I10" s="162">
        <v>45311</v>
      </c>
      <c r="J10">
        <v>60</v>
      </c>
    </row>
    <row r="11" spans="1:15" x14ac:dyDescent="0.25">
      <c r="A11" s="179">
        <v>45307</v>
      </c>
      <c r="B11" s="1" t="s">
        <v>638</v>
      </c>
      <c r="C11" s="1" t="s">
        <v>632</v>
      </c>
      <c r="D11" s="15">
        <v>7.18</v>
      </c>
      <c r="E11" s="1" t="s">
        <v>552</v>
      </c>
      <c r="F11" s="521">
        <v>6416</v>
      </c>
      <c r="G11" s="1"/>
      <c r="I11" s="162">
        <v>45312</v>
      </c>
      <c r="J11">
        <v>60</v>
      </c>
    </row>
    <row r="12" spans="1:15" x14ac:dyDescent="0.25">
      <c r="A12" s="179">
        <v>45307</v>
      </c>
      <c r="B12" s="1" t="s">
        <v>638</v>
      </c>
      <c r="C12" s="1" t="s">
        <v>632</v>
      </c>
      <c r="D12" s="15">
        <v>3.34</v>
      </c>
      <c r="E12" s="1" t="s">
        <v>552</v>
      </c>
      <c r="F12" s="521">
        <v>6416</v>
      </c>
      <c r="G12" s="1"/>
      <c r="I12" s="162">
        <v>45313</v>
      </c>
      <c r="J12">
        <v>60</v>
      </c>
    </row>
    <row r="13" spans="1:15" x14ac:dyDescent="0.25">
      <c r="A13" s="179">
        <v>45308</v>
      </c>
      <c r="B13" s="1" t="s">
        <v>638</v>
      </c>
      <c r="C13" s="1" t="s">
        <v>632</v>
      </c>
      <c r="D13" s="15">
        <v>5.31</v>
      </c>
      <c r="E13" s="1" t="s">
        <v>552</v>
      </c>
      <c r="F13" s="521">
        <v>6416</v>
      </c>
      <c r="G13" s="1"/>
      <c r="I13" s="162">
        <v>45314</v>
      </c>
      <c r="J13">
        <v>60</v>
      </c>
    </row>
    <row r="14" spans="1:15" x14ac:dyDescent="0.25">
      <c r="A14" s="179">
        <v>45308</v>
      </c>
      <c r="B14" s="1" t="s">
        <v>638</v>
      </c>
      <c r="C14" s="1" t="s">
        <v>632</v>
      </c>
      <c r="D14" s="15">
        <v>3.25</v>
      </c>
      <c r="E14" s="1" t="s">
        <v>552</v>
      </c>
      <c r="F14" s="521">
        <v>6416</v>
      </c>
      <c r="G14" s="1"/>
      <c r="I14" s="162">
        <v>45315</v>
      </c>
      <c r="J14">
        <v>60</v>
      </c>
    </row>
    <row r="15" spans="1:15" x14ac:dyDescent="0.25">
      <c r="A15" s="179">
        <v>45308</v>
      </c>
      <c r="B15" s="1" t="s">
        <v>638</v>
      </c>
      <c r="C15" s="1" t="s">
        <v>632</v>
      </c>
      <c r="D15" s="15">
        <v>7.18</v>
      </c>
      <c r="E15" s="1" t="s">
        <v>552</v>
      </c>
      <c r="F15" s="521">
        <v>6416</v>
      </c>
      <c r="G15" s="1"/>
      <c r="I15" s="162">
        <v>45316</v>
      </c>
      <c r="J15">
        <v>60</v>
      </c>
    </row>
    <row r="16" spans="1:15" x14ac:dyDescent="0.25">
      <c r="A16" s="179">
        <v>45308</v>
      </c>
      <c r="B16" s="1" t="s">
        <v>639</v>
      </c>
      <c r="C16" s="1" t="s">
        <v>632</v>
      </c>
      <c r="D16" s="15">
        <v>15.97</v>
      </c>
      <c r="E16" s="1" t="s">
        <v>552</v>
      </c>
      <c r="F16" s="521">
        <v>6416</v>
      </c>
      <c r="G16" s="1"/>
      <c r="I16" s="162">
        <v>45317</v>
      </c>
      <c r="J16">
        <v>60</v>
      </c>
    </row>
    <row r="17" spans="1:18" x14ac:dyDescent="0.25">
      <c r="A17" s="179">
        <v>45308</v>
      </c>
      <c r="B17" s="1" t="s">
        <v>640</v>
      </c>
      <c r="C17" s="1" t="s">
        <v>632</v>
      </c>
      <c r="D17" s="15">
        <v>36.270000000000003</v>
      </c>
      <c r="E17" s="1" t="s">
        <v>552</v>
      </c>
      <c r="F17" s="521">
        <v>6416</v>
      </c>
      <c r="G17" s="1"/>
      <c r="I17" s="162">
        <v>45318</v>
      </c>
      <c r="J17">
        <v>60</v>
      </c>
    </row>
    <row r="18" spans="1:18" x14ac:dyDescent="0.25">
      <c r="A18" s="179">
        <v>45309</v>
      </c>
      <c r="B18" s="1" t="s">
        <v>641</v>
      </c>
      <c r="C18" s="1" t="s">
        <v>632</v>
      </c>
      <c r="D18" s="15">
        <v>48.84</v>
      </c>
      <c r="E18" s="1" t="s">
        <v>50</v>
      </c>
      <c r="F18" s="521" t="s">
        <v>630</v>
      </c>
      <c r="G18" s="1"/>
      <c r="I18" s="162">
        <v>45319</v>
      </c>
      <c r="J18">
        <v>60</v>
      </c>
    </row>
    <row r="19" spans="1:18" x14ac:dyDescent="0.25">
      <c r="A19" s="179">
        <v>45309</v>
      </c>
      <c r="B19" s="1" t="s">
        <v>642</v>
      </c>
      <c r="C19" s="1" t="s">
        <v>632</v>
      </c>
      <c r="D19" s="15">
        <v>41.79</v>
      </c>
      <c r="E19" s="1" t="s">
        <v>50</v>
      </c>
      <c r="F19" s="521" t="s">
        <v>636</v>
      </c>
      <c r="G19" s="1"/>
      <c r="I19" s="162">
        <v>45320</v>
      </c>
      <c r="J19">
        <v>60</v>
      </c>
    </row>
    <row r="20" spans="1:18" x14ac:dyDescent="0.25">
      <c r="A20" s="179">
        <v>45309</v>
      </c>
      <c r="B20" s="1" t="s">
        <v>643</v>
      </c>
      <c r="C20" s="1" t="s">
        <v>632</v>
      </c>
      <c r="D20" s="15">
        <v>7.68</v>
      </c>
      <c r="E20" s="1" t="s">
        <v>552</v>
      </c>
      <c r="F20" s="521">
        <v>6416</v>
      </c>
      <c r="G20" s="1"/>
      <c r="I20" s="162">
        <v>45321</v>
      </c>
      <c r="J20">
        <v>60</v>
      </c>
    </row>
    <row r="21" spans="1:18" x14ac:dyDescent="0.25">
      <c r="A21" s="179">
        <v>45309</v>
      </c>
      <c r="B21" s="1" t="s">
        <v>644</v>
      </c>
      <c r="C21" s="1" t="s">
        <v>632</v>
      </c>
      <c r="D21" s="15">
        <v>11.27</v>
      </c>
      <c r="E21" s="1" t="s">
        <v>552</v>
      </c>
      <c r="F21" s="521">
        <v>6416</v>
      </c>
      <c r="G21" s="1"/>
      <c r="I21" s="162">
        <v>45322</v>
      </c>
      <c r="J21">
        <v>60</v>
      </c>
    </row>
    <row r="22" spans="1:18" x14ac:dyDescent="0.25">
      <c r="A22" s="179">
        <v>45309</v>
      </c>
      <c r="B22" s="1" t="s">
        <v>638</v>
      </c>
      <c r="C22" s="1" t="s">
        <v>632</v>
      </c>
      <c r="D22" s="15">
        <v>2.16</v>
      </c>
      <c r="E22" s="1" t="s">
        <v>552</v>
      </c>
      <c r="F22" s="521">
        <v>6416</v>
      </c>
      <c r="G22" s="1"/>
      <c r="I22" s="162">
        <v>45323</v>
      </c>
      <c r="J22">
        <v>60</v>
      </c>
    </row>
    <row r="23" spans="1:18" x14ac:dyDescent="0.25">
      <c r="A23" s="179">
        <v>45309</v>
      </c>
      <c r="B23" s="1" t="s">
        <v>638</v>
      </c>
      <c r="C23" s="1" t="s">
        <v>632</v>
      </c>
      <c r="D23" s="15">
        <v>5.7</v>
      </c>
      <c r="E23" s="1" t="s">
        <v>552</v>
      </c>
      <c r="F23" s="521">
        <v>6416</v>
      </c>
      <c r="G23" s="1"/>
      <c r="I23" s="162">
        <v>45324</v>
      </c>
      <c r="J23">
        <v>60</v>
      </c>
    </row>
    <row r="24" spans="1:18" x14ac:dyDescent="0.25">
      <c r="A24" s="179">
        <v>45309</v>
      </c>
      <c r="B24" s="1" t="s">
        <v>638</v>
      </c>
      <c r="C24" s="1" t="s">
        <v>632</v>
      </c>
      <c r="D24" s="15">
        <v>10.86</v>
      </c>
      <c r="E24" s="1" t="s">
        <v>552</v>
      </c>
      <c r="F24" s="521">
        <v>6416</v>
      </c>
      <c r="G24" s="1"/>
      <c r="I24" s="162">
        <v>45325</v>
      </c>
      <c r="J24">
        <v>60</v>
      </c>
    </row>
    <row r="25" spans="1:18" x14ac:dyDescent="0.25">
      <c r="A25" s="179">
        <v>45309</v>
      </c>
      <c r="B25" s="1" t="s">
        <v>645</v>
      </c>
      <c r="C25" s="1" t="s">
        <v>646</v>
      </c>
      <c r="D25" s="15">
        <v>0</v>
      </c>
      <c r="E25" s="1" t="s">
        <v>50</v>
      </c>
      <c r="F25" s="521" t="s">
        <v>630</v>
      </c>
      <c r="G25" s="1">
        <v>601</v>
      </c>
      <c r="I25" s="162">
        <v>45326</v>
      </c>
      <c r="J25">
        <v>60</v>
      </c>
    </row>
    <row r="26" spans="1:18" x14ac:dyDescent="0.25">
      <c r="A26" s="179">
        <v>45310</v>
      </c>
      <c r="B26" s="1" t="s">
        <v>647</v>
      </c>
      <c r="C26" s="1" t="s">
        <v>648</v>
      </c>
      <c r="D26" s="15">
        <v>0</v>
      </c>
      <c r="E26" s="1" t="s">
        <v>50</v>
      </c>
      <c r="F26" s="521" t="s">
        <v>630</v>
      </c>
      <c r="G26" s="15">
        <v>124.29</v>
      </c>
      <c r="I26" s="162">
        <v>45327</v>
      </c>
      <c r="J26">
        <v>60</v>
      </c>
    </row>
    <row r="27" spans="1:18" x14ac:dyDescent="0.25">
      <c r="A27" s="179">
        <v>45310</v>
      </c>
      <c r="B27" s="1" t="s">
        <v>649</v>
      </c>
      <c r="C27" s="1" t="s">
        <v>648</v>
      </c>
      <c r="D27" s="15">
        <v>58.92</v>
      </c>
      <c r="E27" s="1" t="s">
        <v>50</v>
      </c>
      <c r="F27" s="521" t="s">
        <v>636</v>
      </c>
      <c r="G27" s="1"/>
      <c r="I27" s="162">
        <v>45328</v>
      </c>
      <c r="J27">
        <v>60</v>
      </c>
    </row>
    <row r="28" spans="1:18" x14ac:dyDescent="0.25">
      <c r="A28" s="179">
        <v>45310</v>
      </c>
      <c r="B28" s="1" t="s">
        <v>649</v>
      </c>
      <c r="C28" s="1" t="s">
        <v>648</v>
      </c>
      <c r="D28" s="15">
        <v>3.24</v>
      </c>
      <c r="E28" s="1" t="s">
        <v>50</v>
      </c>
      <c r="F28" s="521" t="s">
        <v>636</v>
      </c>
      <c r="G28" s="1"/>
      <c r="I28" s="162">
        <v>45329</v>
      </c>
      <c r="J28">
        <v>60</v>
      </c>
    </row>
    <row r="29" spans="1:18" x14ac:dyDescent="0.25">
      <c r="A29" s="179">
        <v>45310</v>
      </c>
      <c r="B29" s="1" t="s">
        <v>650</v>
      </c>
      <c r="C29" s="1" t="s">
        <v>648</v>
      </c>
      <c r="D29" s="15">
        <v>9.74</v>
      </c>
      <c r="E29" s="1" t="s">
        <v>50</v>
      </c>
      <c r="F29" s="521" t="s">
        <v>636</v>
      </c>
      <c r="G29" s="1"/>
      <c r="I29" s="162">
        <v>45330</v>
      </c>
      <c r="J29">
        <v>60</v>
      </c>
    </row>
    <row r="30" spans="1:18" x14ac:dyDescent="0.25">
      <c r="A30" s="179">
        <v>45310</v>
      </c>
      <c r="B30" s="1" t="s">
        <v>651</v>
      </c>
      <c r="C30" s="1" t="s">
        <v>648</v>
      </c>
      <c r="D30" s="15">
        <v>16.22</v>
      </c>
      <c r="E30" s="1" t="s">
        <v>50</v>
      </c>
      <c r="F30" s="521" t="s">
        <v>636</v>
      </c>
      <c r="G30" s="1"/>
      <c r="I30" s="162">
        <v>45331</v>
      </c>
      <c r="J30">
        <v>60</v>
      </c>
      <c r="R30">
        <v>5500</v>
      </c>
    </row>
    <row r="31" spans="1:18" x14ac:dyDescent="0.25">
      <c r="A31" s="179">
        <v>45310</v>
      </c>
      <c r="B31" s="1" t="s">
        <v>652</v>
      </c>
      <c r="C31" s="1" t="s">
        <v>648</v>
      </c>
      <c r="D31" s="15">
        <v>10.61</v>
      </c>
      <c r="E31" s="1" t="s">
        <v>50</v>
      </c>
      <c r="F31" s="521" t="s">
        <v>636</v>
      </c>
      <c r="G31" s="1"/>
      <c r="I31" s="162">
        <v>45332</v>
      </c>
      <c r="J31">
        <v>60</v>
      </c>
    </row>
    <row r="32" spans="1:18" x14ac:dyDescent="0.25">
      <c r="A32" s="179">
        <v>45311</v>
      </c>
      <c r="B32" s="1" t="s">
        <v>653</v>
      </c>
      <c r="C32" s="1" t="s">
        <v>648</v>
      </c>
      <c r="D32" s="15">
        <v>97.34</v>
      </c>
      <c r="E32" s="1" t="s">
        <v>552</v>
      </c>
      <c r="F32" s="521">
        <v>6416</v>
      </c>
      <c r="G32" s="1"/>
      <c r="I32" s="162">
        <v>45333</v>
      </c>
      <c r="J32">
        <v>60</v>
      </c>
    </row>
    <row r="33" spans="1:18" x14ac:dyDescent="0.25">
      <c r="A33" s="179">
        <v>45311</v>
      </c>
      <c r="B33" s="1" t="s">
        <v>633</v>
      </c>
      <c r="C33" s="1" t="s">
        <v>648</v>
      </c>
      <c r="D33" s="15">
        <v>12.83</v>
      </c>
      <c r="E33" s="1" t="s">
        <v>552</v>
      </c>
      <c r="F33" s="521">
        <v>6416</v>
      </c>
      <c r="G33" s="1"/>
      <c r="I33" s="162">
        <v>45334</v>
      </c>
      <c r="J33">
        <v>60</v>
      </c>
      <c r="R33">
        <v>500</v>
      </c>
    </row>
    <row r="34" spans="1:18" x14ac:dyDescent="0.25">
      <c r="A34" s="179">
        <v>45311</v>
      </c>
      <c r="B34" s="1" t="s">
        <v>654</v>
      </c>
      <c r="C34" s="1" t="s">
        <v>648</v>
      </c>
      <c r="D34" s="15">
        <v>0</v>
      </c>
      <c r="E34" s="1" t="s">
        <v>50</v>
      </c>
      <c r="F34" s="521" t="s">
        <v>636</v>
      </c>
      <c r="G34" s="15">
        <v>132.07</v>
      </c>
      <c r="I34" s="162">
        <v>45335</v>
      </c>
      <c r="J34">
        <v>60</v>
      </c>
      <c r="K34">
        <v>2666</v>
      </c>
      <c r="R34">
        <f>-D1</f>
        <v>-2787.2799999999993</v>
      </c>
    </row>
    <row r="35" spans="1:18" x14ac:dyDescent="0.25">
      <c r="A35" s="179">
        <v>45311</v>
      </c>
      <c r="B35" s="1" t="s">
        <v>654</v>
      </c>
      <c r="C35" s="1" t="s">
        <v>648</v>
      </c>
      <c r="D35" s="15">
        <v>44.36</v>
      </c>
      <c r="E35" s="1" t="s">
        <v>50</v>
      </c>
      <c r="F35" s="521" t="s">
        <v>636</v>
      </c>
      <c r="G35" s="1"/>
      <c r="I35" s="162">
        <v>45336</v>
      </c>
      <c r="J35">
        <v>60</v>
      </c>
      <c r="K35">
        <v>-500</v>
      </c>
    </row>
    <row r="36" spans="1:18" x14ac:dyDescent="0.25">
      <c r="A36" s="179">
        <v>45312</v>
      </c>
      <c r="B36" s="1" t="s">
        <v>655</v>
      </c>
      <c r="C36" s="1" t="s">
        <v>648</v>
      </c>
      <c r="D36" s="15">
        <v>7.29</v>
      </c>
      <c r="E36" s="1" t="s">
        <v>50</v>
      </c>
      <c r="F36" s="521" t="s">
        <v>630</v>
      </c>
      <c r="G36" s="1"/>
      <c r="I36" s="162">
        <v>45337</v>
      </c>
      <c r="J36">
        <v>60</v>
      </c>
    </row>
    <row r="37" spans="1:18" x14ac:dyDescent="0.25">
      <c r="A37" s="179">
        <v>45312</v>
      </c>
      <c r="B37" s="1" t="s">
        <v>656</v>
      </c>
      <c r="C37" s="1" t="s">
        <v>648</v>
      </c>
      <c r="D37" s="15">
        <v>16.23</v>
      </c>
      <c r="E37" s="1" t="s">
        <v>552</v>
      </c>
      <c r="F37" s="521">
        <v>6416</v>
      </c>
      <c r="G37" s="1"/>
      <c r="I37" s="162">
        <v>45338</v>
      </c>
      <c r="J37">
        <v>60</v>
      </c>
      <c r="R37">
        <f>SUM(R30:R34)</f>
        <v>3212.7200000000007</v>
      </c>
    </row>
    <row r="38" spans="1:18" x14ac:dyDescent="0.25">
      <c r="A38" s="179">
        <v>45312</v>
      </c>
      <c r="B38" s="1" t="s">
        <v>651</v>
      </c>
      <c r="C38" s="1" t="s">
        <v>648</v>
      </c>
      <c r="D38" s="15">
        <v>11.9</v>
      </c>
      <c r="E38" s="1" t="s">
        <v>50</v>
      </c>
      <c r="F38" s="521" t="s">
        <v>636</v>
      </c>
      <c r="G38" s="1"/>
      <c r="I38" s="162">
        <v>45339</v>
      </c>
      <c r="J38">
        <v>60</v>
      </c>
      <c r="R38">
        <v>-3224.5</v>
      </c>
    </row>
    <row r="39" spans="1:18" x14ac:dyDescent="0.25">
      <c r="A39" s="179">
        <v>45312</v>
      </c>
      <c r="B39" s="1" t="s">
        <v>651</v>
      </c>
      <c r="C39" s="1" t="s">
        <v>648</v>
      </c>
      <c r="D39" s="15">
        <v>18.91</v>
      </c>
      <c r="E39" s="1" t="s">
        <v>50</v>
      </c>
      <c r="F39" s="521" t="s">
        <v>636</v>
      </c>
      <c r="G39" s="1"/>
      <c r="I39" s="162">
        <v>45340</v>
      </c>
      <c r="J39">
        <v>60</v>
      </c>
    </row>
    <row r="40" spans="1:18" x14ac:dyDescent="0.25">
      <c r="A40" s="179">
        <v>45313</v>
      </c>
      <c r="B40" s="1" t="s">
        <v>638</v>
      </c>
      <c r="C40" s="1" t="s">
        <v>657</v>
      </c>
      <c r="D40" s="15">
        <v>2.15</v>
      </c>
      <c r="E40" s="1" t="s">
        <v>552</v>
      </c>
      <c r="F40" s="521">
        <v>6416</v>
      </c>
      <c r="G40" s="1"/>
      <c r="I40" s="162">
        <v>45341</v>
      </c>
      <c r="J40">
        <v>60</v>
      </c>
    </row>
    <row r="41" spans="1:18" x14ac:dyDescent="0.25">
      <c r="A41" s="179">
        <v>45313</v>
      </c>
      <c r="B41" s="1" t="s">
        <v>638</v>
      </c>
      <c r="C41" s="1" t="s">
        <v>657</v>
      </c>
      <c r="D41" s="15">
        <v>4.26</v>
      </c>
      <c r="E41" s="1" t="s">
        <v>50</v>
      </c>
      <c r="F41" s="521" t="s">
        <v>636</v>
      </c>
      <c r="G41" s="1"/>
      <c r="I41" s="162">
        <v>45342</v>
      </c>
      <c r="J41">
        <v>60</v>
      </c>
    </row>
    <row r="42" spans="1:18" x14ac:dyDescent="0.25">
      <c r="A42" s="179">
        <v>45313</v>
      </c>
      <c r="B42" s="1" t="s">
        <v>654</v>
      </c>
      <c r="C42" s="1" t="s">
        <v>657</v>
      </c>
      <c r="D42" s="15">
        <v>33.880000000000003</v>
      </c>
      <c r="E42" s="1" t="s">
        <v>50</v>
      </c>
      <c r="F42" s="521" t="s">
        <v>630</v>
      </c>
      <c r="G42" s="1"/>
      <c r="I42" s="162">
        <v>45343</v>
      </c>
      <c r="J42">
        <v>60</v>
      </c>
    </row>
    <row r="43" spans="1:18" x14ac:dyDescent="0.25">
      <c r="A43" s="179">
        <v>45314</v>
      </c>
      <c r="B43" s="1" t="s">
        <v>638</v>
      </c>
      <c r="C43" s="1" t="s">
        <v>657</v>
      </c>
      <c r="D43" s="15">
        <v>10.83</v>
      </c>
      <c r="E43" s="1" t="s">
        <v>552</v>
      </c>
      <c r="F43" s="521">
        <v>6416</v>
      </c>
      <c r="G43" s="1"/>
      <c r="I43" s="162">
        <v>45344</v>
      </c>
      <c r="J43">
        <v>60</v>
      </c>
    </row>
    <row r="44" spans="1:18" x14ac:dyDescent="0.25">
      <c r="A44" s="179">
        <v>45314</v>
      </c>
      <c r="B44" s="1" t="s">
        <v>638</v>
      </c>
      <c r="C44" s="1" t="s">
        <v>657</v>
      </c>
      <c r="D44" s="15">
        <v>7.77</v>
      </c>
      <c r="E44" s="1" t="s">
        <v>552</v>
      </c>
      <c r="F44" s="521">
        <v>6416</v>
      </c>
      <c r="G44" s="1"/>
      <c r="I44" s="162">
        <v>45345</v>
      </c>
      <c r="J44">
        <v>60</v>
      </c>
    </row>
    <row r="45" spans="1:18" x14ac:dyDescent="0.25">
      <c r="A45" s="179">
        <v>45315</v>
      </c>
      <c r="B45" s="1" t="s">
        <v>638</v>
      </c>
      <c r="C45" s="1" t="s">
        <v>657</v>
      </c>
      <c r="D45" s="15">
        <v>1.5</v>
      </c>
      <c r="E45" s="1" t="s">
        <v>50</v>
      </c>
      <c r="F45" s="521" t="s">
        <v>636</v>
      </c>
      <c r="G45" s="1"/>
      <c r="I45" s="162">
        <v>45346</v>
      </c>
      <c r="J45">
        <v>60</v>
      </c>
    </row>
    <row r="46" spans="1:18" x14ac:dyDescent="0.25">
      <c r="A46" s="179">
        <v>45315</v>
      </c>
      <c r="B46" s="1" t="s">
        <v>638</v>
      </c>
      <c r="C46" s="1" t="s">
        <v>657</v>
      </c>
      <c r="D46" s="15">
        <v>5.15</v>
      </c>
      <c r="E46" s="1" t="s">
        <v>50</v>
      </c>
      <c r="F46" s="521" t="s">
        <v>636</v>
      </c>
      <c r="G46" s="1"/>
    </row>
    <row r="47" spans="1:18" x14ac:dyDescent="0.25">
      <c r="A47" s="179">
        <v>45315</v>
      </c>
      <c r="B47" s="1" t="s">
        <v>638</v>
      </c>
      <c r="C47" s="1" t="s">
        <v>657</v>
      </c>
      <c r="D47" s="15">
        <v>7.03</v>
      </c>
      <c r="E47" s="1" t="s">
        <v>552</v>
      </c>
      <c r="F47" s="521">
        <v>6416</v>
      </c>
      <c r="G47" s="1"/>
    </row>
    <row r="48" spans="1:18" x14ac:dyDescent="0.25">
      <c r="A48" s="179">
        <v>45315</v>
      </c>
      <c r="B48" s="1" t="s">
        <v>638</v>
      </c>
      <c r="C48" s="1" t="s">
        <v>657</v>
      </c>
      <c r="D48" s="15">
        <v>9.1300000000000008</v>
      </c>
      <c r="E48" s="1" t="s">
        <v>50</v>
      </c>
      <c r="F48" s="521" t="s">
        <v>636</v>
      </c>
      <c r="G48" s="1"/>
    </row>
    <row r="49" spans="1:7" x14ac:dyDescent="0.25">
      <c r="A49" s="179">
        <v>45315</v>
      </c>
      <c r="B49" s="1" t="s">
        <v>638</v>
      </c>
      <c r="C49" s="1" t="s">
        <v>657</v>
      </c>
      <c r="D49" s="15">
        <v>1.83</v>
      </c>
      <c r="E49" s="1" t="s">
        <v>552</v>
      </c>
      <c r="F49" s="521">
        <v>6416</v>
      </c>
      <c r="G49" s="1"/>
    </row>
    <row r="50" spans="1:7" x14ac:dyDescent="0.25">
      <c r="A50" s="179">
        <v>45316</v>
      </c>
      <c r="B50" s="1" t="s">
        <v>658</v>
      </c>
      <c r="C50" s="1" t="s">
        <v>657</v>
      </c>
      <c r="D50" s="15">
        <v>15.91</v>
      </c>
      <c r="E50" s="1" t="s">
        <v>552</v>
      </c>
      <c r="F50" s="521">
        <v>6416</v>
      </c>
      <c r="G50" s="1"/>
    </row>
    <row r="51" spans="1:7" x14ac:dyDescent="0.25">
      <c r="A51" s="179">
        <v>45316</v>
      </c>
      <c r="B51" s="1" t="s">
        <v>631</v>
      </c>
      <c r="C51" s="1" t="s">
        <v>657</v>
      </c>
      <c r="D51" s="15">
        <v>39.56</v>
      </c>
      <c r="E51" s="1" t="s">
        <v>50</v>
      </c>
      <c r="F51" s="521" t="s">
        <v>636</v>
      </c>
      <c r="G51" s="1"/>
    </row>
    <row r="52" spans="1:7" x14ac:dyDescent="0.25">
      <c r="A52" s="179">
        <v>45316</v>
      </c>
      <c r="B52" s="1" t="s">
        <v>631</v>
      </c>
      <c r="C52" s="1" t="s">
        <v>657</v>
      </c>
      <c r="D52" s="15">
        <v>4.28</v>
      </c>
      <c r="E52" s="1" t="s">
        <v>552</v>
      </c>
      <c r="F52" s="521">
        <v>6416</v>
      </c>
      <c r="G52" s="1"/>
    </row>
    <row r="53" spans="1:7" x14ac:dyDescent="0.25">
      <c r="A53" s="179">
        <v>45316</v>
      </c>
      <c r="B53" s="1" t="s">
        <v>633</v>
      </c>
      <c r="C53" s="1" t="s">
        <v>657</v>
      </c>
      <c r="D53" s="15">
        <v>28.05</v>
      </c>
      <c r="E53" s="1" t="s">
        <v>552</v>
      </c>
      <c r="F53" s="521">
        <v>6416</v>
      </c>
      <c r="G53" s="1"/>
    </row>
    <row r="54" spans="1:7" x14ac:dyDescent="0.25">
      <c r="A54" s="179">
        <v>45316</v>
      </c>
      <c r="B54" s="1" t="s">
        <v>659</v>
      </c>
      <c r="C54" s="1" t="s">
        <v>646</v>
      </c>
      <c r="D54" s="15">
        <v>0</v>
      </c>
      <c r="E54" s="1" t="s">
        <v>50</v>
      </c>
      <c r="F54" s="521" t="s">
        <v>630</v>
      </c>
      <c r="G54" s="1">
        <v>267.97000000000003</v>
      </c>
    </row>
    <row r="55" spans="1:7" x14ac:dyDescent="0.25">
      <c r="A55" s="179">
        <v>45317</v>
      </c>
      <c r="B55" s="1" t="s">
        <v>660</v>
      </c>
      <c r="C55" s="1" t="s">
        <v>657</v>
      </c>
      <c r="D55" s="15">
        <v>14.4</v>
      </c>
      <c r="E55" s="1" t="s">
        <v>552</v>
      </c>
      <c r="F55" s="521">
        <v>6416</v>
      </c>
      <c r="G55" s="1"/>
    </row>
    <row r="56" spans="1:7" x14ac:dyDescent="0.25">
      <c r="A56" s="179">
        <v>45317</v>
      </c>
      <c r="B56" s="1" t="s">
        <v>661</v>
      </c>
      <c r="C56" s="1" t="s">
        <v>648</v>
      </c>
      <c r="D56" s="15">
        <v>19.079999999999998</v>
      </c>
      <c r="E56" s="1" t="s">
        <v>50</v>
      </c>
      <c r="F56" s="521" t="s">
        <v>636</v>
      </c>
      <c r="G56" s="1"/>
    </row>
    <row r="57" spans="1:7" x14ac:dyDescent="0.25">
      <c r="A57" s="179">
        <v>45317</v>
      </c>
      <c r="B57" s="1" t="s">
        <v>662</v>
      </c>
      <c r="C57" s="1" t="s">
        <v>657</v>
      </c>
      <c r="D57" s="15">
        <v>7.56</v>
      </c>
      <c r="E57" s="1" t="s">
        <v>552</v>
      </c>
      <c r="F57" s="521">
        <v>6416</v>
      </c>
      <c r="G57" s="1"/>
    </row>
    <row r="58" spans="1:7" x14ac:dyDescent="0.25">
      <c r="A58" s="179">
        <v>45318</v>
      </c>
      <c r="B58" s="1" t="s">
        <v>650</v>
      </c>
      <c r="C58" s="1" t="s">
        <v>648</v>
      </c>
      <c r="D58" s="15">
        <v>32.479999999999997</v>
      </c>
      <c r="E58" s="1" t="s">
        <v>552</v>
      </c>
      <c r="F58" s="521">
        <v>6416</v>
      </c>
      <c r="G58" s="1"/>
    </row>
    <row r="59" spans="1:7" x14ac:dyDescent="0.25">
      <c r="A59" s="179">
        <v>45318</v>
      </c>
      <c r="B59" s="1" t="s">
        <v>631</v>
      </c>
      <c r="C59" s="1" t="s">
        <v>648</v>
      </c>
      <c r="D59" s="15">
        <v>15.16</v>
      </c>
      <c r="E59" s="1" t="s">
        <v>50</v>
      </c>
      <c r="F59" s="521" t="s">
        <v>663</v>
      </c>
      <c r="G59" s="1"/>
    </row>
    <row r="60" spans="1:7" x14ac:dyDescent="0.25">
      <c r="A60" s="179">
        <v>45318</v>
      </c>
      <c r="B60" s="1" t="s">
        <v>633</v>
      </c>
      <c r="C60" s="1" t="s">
        <v>648</v>
      </c>
      <c r="D60" s="15">
        <v>106.73</v>
      </c>
      <c r="E60" s="1" t="s">
        <v>50</v>
      </c>
      <c r="F60" s="521" t="s">
        <v>663</v>
      </c>
      <c r="G60" s="1"/>
    </row>
    <row r="61" spans="1:7" x14ac:dyDescent="0.25">
      <c r="A61" s="179">
        <v>45318</v>
      </c>
      <c r="B61" s="1" t="s">
        <v>664</v>
      </c>
      <c r="C61" s="1" t="s">
        <v>648</v>
      </c>
      <c r="D61" s="15">
        <v>0</v>
      </c>
      <c r="E61" s="1" t="s">
        <v>50</v>
      </c>
      <c r="F61" s="521" t="s">
        <v>663</v>
      </c>
      <c r="G61" s="15">
        <v>117.95</v>
      </c>
    </row>
    <row r="62" spans="1:7" x14ac:dyDescent="0.25">
      <c r="A62" s="179">
        <v>45318</v>
      </c>
      <c r="B62" s="1" t="s">
        <v>664</v>
      </c>
      <c r="C62" s="1" t="s">
        <v>648</v>
      </c>
      <c r="D62" s="15">
        <v>0</v>
      </c>
      <c r="E62" s="1" t="s">
        <v>50</v>
      </c>
      <c r="F62" s="521" t="s">
        <v>663</v>
      </c>
      <c r="G62" s="15">
        <v>168.9</v>
      </c>
    </row>
    <row r="63" spans="1:7" x14ac:dyDescent="0.25">
      <c r="A63" s="179">
        <v>45318</v>
      </c>
      <c r="B63" s="1" t="s">
        <v>665</v>
      </c>
      <c r="C63" s="1" t="s">
        <v>648</v>
      </c>
      <c r="D63" s="15">
        <v>12.28</v>
      </c>
      <c r="E63" s="1" t="s">
        <v>50</v>
      </c>
      <c r="F63" s="521" t="s">
        <v>630</v>
      </c>
      <c r="G63" s="1"/>
    </row>
    <row r="64" spans="1:7" x14ac:dyDescent="0.25">
      <c r="A64" s="179">
        <v>45319</v>
      </c>
      <c r="B64" s="1" t="s">
        <v>651</v>
      </c>
      <c r="C64" s="1" t="s">
        <v>648</v>
      </c>
      <c r="D64" s="15">
        <v>17.850000000000001</v>
      </c>
      <c r="E64" s="1" t="s">
        <v>50</v>
      </c>
      <c r="F64" s="521" t="s">
        <v>663</v>
      </c>
      <c r="G64" s="1"/>
    </row>
    <row r="65" spans="1:7" x14ac:dyDescent="0.25">
      <c r="A65" s="179">
        <v>45319</v>
      </c>
      <c r="B65" s="1" t="s">
        <v>650</v>
      </c>
      <c r="C65" s="1" t="s">
        <v>648</v>
      </c>
      <c r="D65" s="15">
        <v>38.049999999999997</v>
      </c>
      <c r="E65" s="1" t="s">
        <v>50</v>
      </c>
      <c r="F65" s="521" t="s">
        <v>663</v>
      </c>
      <c r="G65" s="1"/>
    </row>
    <row r="66" spans="1:7" x14ac:dyDescent="0.25">
      <c r="A66" s="179">
        <v>45319</v>
      </c>
      <c r="B66" s="1" t="s">
        <v>650</v>
      </c>
      <c r="C66" s="1" t="s">
        <v>648</v>
      </c>
      <c r="D66" s="15">
        <v>3.25</v>
      </c>
      <c r="E66" s="1" t="s">
        <v>50</v>
      </c>
      <c r="F66" s="521" t="s">
        <v>663</v>
      </c>
      <c r="G66" s="1"/>
    </row>
    <row r="67" spans="1:7" x14ac:dyDescent="0.25">
      <c r="A67" s="179">
        <v>45319</v>
      </c>
      <c r="B67" s="1" t="s">
        <v>654</v>
      </c>
      <c r="C67" s="1" t="s">
        <v>648</v>
      </c>
      <c r="D67" s="15">
        <v>16.23</v>
      </c>
      <c r="E67" s="1" t="s">
        <v>50</v>
      </c>
      <c r="F67" s="521" t="s">
        <v>663</v>
      </c>
      <c r="G67" s="1"/>
    </row>
    <row r="68" spans="1:7" x14ac:dyDescent="0.25">
      <c r="A68" s="179">
        <v>45319</v>
      </c>
      <c r="B68" s="1" t="s">
        <v>654</v>
      </c>
      <c r="C68" s="1" t="s">
        <v>648</v>
      </c>
      <c r="D68" s="15">
        <v>1.5</v>
      </c>
      <c r="E68" s="1" t="s">
        <v>50</v>
      </c>
      <c r="F68" s="521" t="s">
        <v>663</v>
      </c>
      <c r="G68" s="1"/>
    </row>
    <row r="69" spans="1:7" x14ac:dyDescent="0.25">
      <c r="A69" s="179">
        <v>45320</v>
      </c>
      <c r="B69" s="1" t="s">
        <v>666</v>
      </c>
      <c r="C69" s="1" t="s">
        <v>648</v>
      </c>
      <c r="D69" s="15">
        <v>2.15</v>
      </c>
      <c r="E69" s="1" t="s">
        <v>50</v>
      </c>
      <c r="F69" s="521" t="s">
        <v>663</v>
      </c>
      <c r="G69" s="1"/>
    </row>
    <row r="70" spans="1:7" x14ac:dyDescent="0.25">
      <c r="A70" s="179">
        <v>45322</v>
      </c>
      <c r="B70" s="1" t="s">
        <v>651</v>
      </c>
      <c r="C70" s="1" t="s">
        <v>648</v>
      </c>
      <c r="D70" s="15">
        <v>23.78</v>
      </c>
      <c r="E70" s="1" t="s">
        <v>552</v>
      </c>
      <c r="F70" s="521">
        <v>6416</v>
      </c>
      <c r="G70" s="1"/>
    </row>
    <row r="71" spans="1:7" x14ac:dyDescent="0.25">
      <c r="A71" s="179">
        <v>45322</v>
      </c>
      <c r="B71" s="1" t="s">
        <v>651</v>
      </c>
      <c r="C71" s="1" t="s">
        <v>648</v>
      </c>
      <c r="D71" s="15">
        <v>18.489999999999998</v>
      </c>
      <c r="E71" s="1" t="s">
        <v>50</v>
      </c>
      <c r="F71" s="521" t="s">
        <v>663</v>
      </c>
      <c r="G71" s="1"/>
    </row>
    <row r="72" spans="1:7" x14ac:dyDescent="0.25">
      <c r="A72" s="179">
        <v>45322</v>
      </c>
      <c r="B72" s="1" t="s">
        <v>666</v>
      </c>
      <c r="C72" s="1" t="s">
        <v>648</v>
      </c>
      <c r="D72" s="15">
        <v>43.28</v>
      </c>
      <c r="E72" s="1" t="s">
        <v>50</v>
      </c>
      <c r="F72" s="521" t="s">
        <v>630</v>
      </c>
      <c r="G72" s="1"/>
    </row>
    <row r="73" spans="1:7" x14ac:dyDescent="0.25">
      <c r="A73" s="179">
        <v>45322</v>
      </c>
      <c r="B73" s="1" t="s">
        <v>650</v>
      </c>
      <c r="C73" s="1" t="s">
        <v>648</v>
      </c>
      <c r="D73" s="15">
        <v>3.09</v>
      </c>
      <c r="E73" s="1" t="s">
        <v>50</v>
      </c>
      <c r="F73" s="521" t="s">
        <v>630</v>
      </c>
      <c r="G73" s="1"/>
    </row>
    <row r="74" spans="1:7" x14ac:dyDescent="0.25">
      <c r="A74" s="179">
        <v>45323</v>
      </c>
      <c r="B74" s="1" t="s">
        <v>647</v>
      </c>
      <c r="C74" s="1" t="s">
        <v>648</v>
      </c>
      <c r="D74" s="15">
        <v>53.08</v>
      </c>
      <c r="E74" s="1" t="s">
        <v>50</v>
      </c>
      <c r="F74" s="521" t="s">
        <v>630</v>
      </c>
      <c r="G74" s="1"/>
    </row>
    <row r="75" spans="1:7" x14ac:dyDescent="0.25">
      <c r="A75" s="179">
        <v>45323</v>
      </c>
      <c r="B75" s="1" t="s">
        <v>647</v>
      </c>
      <c r="C75" s="1" t="s">
        <v>648</v>
      </c>
      <c r="D75" s="15">
        <v>59.05</v>
      </c>
      <c r="E75" s="1" t="s">
        <v>50</v>
      </c>
      <c r="F75" s="521" t="s">
        <v>630</v>
      </c>
      <c r="G75" s="1"/>
    </row>
    <row r="76" spans="1:7" x14ac:dyDescent="0.25">
      <c r="A76" s="179">
        <v>45323</v>
      </c>
      <c r="B76" s="1" t="s">
        <v>643</v>
      </c>
      <c r="C76" s="1" t="s">
        <v>648</v>
      </c>
      <c r="D76" s="15">
        <v>16.91</v>
      </c>
      <c r="E76" s="1" t="s">
        <v>50</v>
      </c>
      <c r="F76" s="521" t="s">
        <v>630</v>
      </c>
      <c r="G76" s="1"/>
    </row>
    <row r="77" spans="1:7" x14ac:dyDescent="0.25">
      <c r="A77" s="179">
        <v>45323</v>
      </c>
      <c r="B77" s="1" t="s">
        <v>650</v>
      </c>
      <c r="C77" s="1" t="s">
        <v>648</v>
      </c>
      <c r="D77" s="15">
        <v>11.37</v>
      </c>
      <c r="E77" s="1" t="s">
        <v>50</v>
      </c>
      <c r="F77" s="521"/>
      <c r="G77" s="1"/>
    </row>
    <row r="78" spans="1:7" x14ac:dyDescent="0.25">
      <c r="A78" s="179">
        <v>45323</v>
      </c>
      <c r="B78" s="1" t="s">
        <v>649</v>
      </c>
      <c r="C78" s="1" t="s">
        <v>648</v>
      </c>
      <c r="D78" s="15">
        <v>16.23</v>
      </c>
      <c r="E78" s="1" t="s">
        <v>50</v>
      </c>
      <c r="F78" s="521"/>
      <c r="G78" s="1"/>
    </row>
    <row r="79" spans="1:7" x14ac:dyDescent="0.25">
      <c r="A79" s="179">
        <v>45324</v>
      </c>
      <c r="B79" s="1" t="s">
        <v>651</v>
      </c>
      <c r="C79" s="1" t="s">
        <v>648</v>
      </c>
      <c r="D79" s="15">
        <v>24.65</v>
      </c>
      <c r="E79" s="1" t="s">
        <v>50</v>
      </c>
      <c r="F79" s="521" t="s">
        <v>630</v>
      </c>
      <c r="G79" s="1"/>
    </row>
    <row r="80" spans="1:7" x14ac:dyDescent="0.25">
      <c r="A80" s="179">
        <v>45324</v>
      </c>
      <c r="B80" s="1" t="s">
        <v>650</v>
      </c>
      <c r="C80" s="1" t="s">
        <v>648</v>
      </c>
      <c r="D80" s="15">
        <v>8.66</v>
      </c>
      <c r="E80" s="1" t="s">
        <v>552</v>
      </c>
      <c r="F80" s="521">
        <v>6416</v>
      </c>
      <c r="G80" s="1"/>
    </row>
    <row r="81" spans="1:7" x14ac:dyDescent="0.25">
      <c r="A81" s="179">
        <v>45324</v>
      </c>
      <c r="B81" s="1" t="s">
        <v>649</v>
      </c>
      <c r="C81" s="1" t="s">
        <v>648</v>
      </c>
      <c r="D81" s="15">
        <v>25.95</v>
      </c>
      <c r="E81" s="1" t="s">
        <v>50</v>
      </c>
      <c r="F81" s="521"/>
      <c r="G81" s="1"/>
    </row>
    <row r="82" spans="1:7" x14ac:dyDescent="0.25">
      <c r="A82" s="179">
        <v>45325</v>
      </c>
      <c r="B82" s="1" t="s">
        <v>631</v>
      </c>
      <c r="C82" s="1" t="s">
        <v>648</v>
      </c>
      <c r="D82" s="15">
        <v>18.62</v>
      </c>
      <c r="E82" s="1" t="s">
        <v>50</v>
      </c>
      <c r="F82" s="521"/>
      <c r="G82" s="1"/>
    </row>
    <row r="83" spans="1:7" x14ac:dyDescent="0.25">
      <c r="A83" s="179">
        <v>45325</v>
      </c>
      <c r="B83" s="1" t="s">
        <v>649</v>
      </c>
      <c r="C83" s="1" t="s">
        <v>648</v>
      </c>
      <c r="D83" s="15">
        <v>25.93</v>
      </c>
      <c r="E83" s="1" t="s">
        <v>50</v>
      </c>
      <c r="F83" s="521"/>
      <c r="G83" s="1"/>
    </row>
    <row r="84" spans="1:7" x14ac:dyDescent="0.25">
      <c r="A84" s="179">
        <v>45325</v>
      </c>
      <c r="B84" s="1" t="s">
        <v>649</v>
      </c>
      <c r="C84" s="1" t="s">
        <v>648</v>
      </c>
      <c r="D84" s="15">
        <v>5.99</v>
      </c>
      <c r="E84" s="1" t="s">
        <v>50</v>
      </c>
      <c r="F84" s="521"/>
      <c r="G84" s="1"/>
    </row>
    <row r="85" spans="1:7" x14ac:dyDescent="0.25">
      <c r="A85" s="179">
        <v>45325</v>
      </c>
      <c r="B85" s="1" t="s">
        <v>652</v>
      </c>
      <c r="C85" s="1" t="s">
        <v>648</v>
      </c>
      <c r="D85" s="15">
        <v>5.85</v>
      </c>
      <c r="E85" s="1" t="s">
        <v>552</v>
      </c>
      <c r="F85" s="521">
        <v>6416</v>
      </c>
      <c r="G85" s="1"/>
    </row>
    <row r="86" spans="1:7" x14ac:dyDescent="0.25">
      <c r="A86" s="179">
        <v>45325</v>
      </c>
      <c r="B86" s="1" t="s">
        <v>649</v>
      </c>
      <c r="C86" s="1" t="s">
        <v>648</v>
      </c>
      <c r="D86" s="15">
        <v>0</v>
      </c>
      <c r="E86" s="1" t="s">
        <v>50</v>
      </c>
      <c r="F86" s="521"/>
      <c r="G86" s="1">
        <v>199</v>
      </c>
    </row>
    <row r="87" spans="1:7" x14ac:dyDescent="0.25">
      <c r="A87" s="179">
        <v>45325</v>
      </c>
      <c r="B87" s="1" t="s">
        <v>649</v>
      </c>
      <c r="C87" s="1" t="s">
        <v>648</v>
      </c>
      <c r="D87" s="15">
        <v>14.06</v>
      </c>
      <c r="E87" s="1" t="s">
        <v>50</v>
      </c>
      <c r="F87" s="521"/>
      <c r="G87" s="1"/>
    </row>
    <row r="88" spans="1:7" x14ac:dyDescent="0.25">
      <c r="A88" s="179">
        <v>45326</v>
      </c>
      <c r="B88" s="1" t="s">
        <v>667</v>
      </c>
      <c r="C88" s="1" t="s">
        <v>648</v>
      </c>
      <c r="D88" s="15">
        <v>18.23</v>
      </c>
      <c r="E88" s="1" t="s">
        <v>50</v>
      </c>
      <c r="F88" s="521"/>
      <c r="G88" s="1"/>
    </row>
    <row r="89" spans="1:7" x14ac:dyDescent="0.25">
      <c r="A89" s="179">
        <v>45326</v>
      </c>
      <c r="B89" s="1" t="s">
        <v>666</v>
      </c>
      <c r="C89" s="1" t="s">
        <v>648</v>
      </c>
      <c r="D89" s="15">
        <v>2.15</v>
      </c>
      <c r="E89" s="1" t="s">
        <v>50</v>
      </c>
      <c r="F89" s="521"/>
      <c r="G89" s="1"/>
    </row>
    <row r="90" spans="1:7" x14ac:dyDescent="0.25">
      <c r="A90" s="179">
        <v>45326</v>
      </c>
      <c r="B90" s="1" t="s">
        <v>633</v>
      </c>
      <c r="C90" s="1" t="s">
        <v>648</v>
      </c>
      <c r="D90" s="15">
        <v>29.16</v>
      </c>
      <c r="E90" s="1" t="s">
        <v>50</v>
      </c>
      <c r="F90" s="521"/>
      <c r="G90" s="1"/>
    </row>
    <row r="91" spans="1:7" x14ac:dyDescent="0.25">
      <c r="A91" s="179">
        <v>45326</v>
      </c>
      <c r="B91" s="1" t="s">
        <v>528</v>
      </c>
      <c r="C91" s="1" t="s">
        <v>648</v>
      </c>
      <c r="D91" s="15">
        <v>32</v>
      </c>
      <c r="E91" s="1" t="s">
        <v>50</v>
      </c>
      <c r="F91" s="521"/>
      <c r="G91" s="1"/>
    </row>
    <row r="92" spans="1:7" x14ac:dyDescent="0.25">
      <c r="A92" s="179">
        <v>45327</v>
      </c>
      <c r="B92" s="1" t="s">
        <v>668</v>
      </c>
      <c r="C92" s="1" t="s">
        <v>648</v>
      </c>
      <c r="D92" s="15">
        <v>0</v>
      </c>
      <c r="E92" s="1" t="s">
        <v>552</v>
      </c>
      <c r="F92" s="521"/>
      <c r="G92" s="15">
        <v>107.17</v>
      </c>
    </row>
    <row r="93" spans="1:7" x14ac:dyDescent="0.25">
      <c r="A93" s="179">
        <v>45327</v>
      </c>
      <c r="B93" s="1" t="s">
        <v>669</v>
      </c>
      <c r="C93" s="1" t="s">
        <v>648</v>
      </c>
      <c r="D93" s="15">
        <v>73.61</v>
      </c>
      <c r="E93" s="1" t="s">
        <v>50</v>
      </c>
      <c r="F93" s="521"/>
      <c r="G93" s="1"/>
    </row>
    <row r="94" spans="1:7" x14ac:dyDescent="0.25">
      <c r="A94" s="179">
        <v>45328</v>
      </c>
      <c r="B94" s="1" t="s">
        <v>631</v>
      </c>
      <c r="C94" s="1" t="s">
        <v>648</v>
      </c>
      <c r="D94" s="15">
        <v>6.98</v>
      </c>
      <c r="E94" s="1" t="s">
        <v>552</v>
      </c>
      <c r="F94" s="521"/>
      <c r="G94" s="1"/>
    </row>
    <row r="95" spans="1:7" x14ac:dyDescent="0.25">
      <c r="A95" s="179">
        <v>45328</v>
      </c>
      <c r="B95" s="1" t="s">
        <v>650</v>
      </c>
      <c r="C95" s="1" t="s">
        <v>648</v>
      </c>
      <c r="D95" s="15">
        <v>25.71</v>
      </c>
      <c r="E95" s="1" t="s">
        <v>50</v>
      </c>
      <c r="F95" s="521"/>
      <c r="G95" s="1"/>
    </row>
    <row r="96" spans="1:7" x14ac:dyDescent="0.25">
      <c r="A96" s="179">
        <v>45328</v>
      </c>
      <c r="B96" s="1" t="s">
        <v>651</v>
      </c>
      <c r="C96" s="1" t="s">
        <v>648</v>
      </c>
      <c r="D96" s="15">
        <v>8.48</v>
      </c>
      <c r="E96" s="1" t="s">
        <v>552</v>
      </c>
      <c r="F96" s="521"/>
      <c r="G96" s="1"/>
    </row>
    <row r="97" spans="1:7" x14ac:dyDescent="0.25">
      <c r="A97" s="179">
        <v>45328</v>
      </c>
      <c r="B97" s="1" t="s">
        <v>651</v>
      </c>
      <c r="C97" s="1" t="s">
        <v>648</v>
      </c>
      <c r="D97" s="15">
        <v>37.840000000000003</v>
      </c>
      <c r="E97" s="1" t="s">
        <v>50</v>
      </c>
      <c r="F97" s="521"/>
      <c r="G97" s="1"/>
    </row>
    <row r="98" spans="1:7" x14ac:dyDescent="0.25">
      <c r="A98" s="179">
        <v>45329</v>
      </c>
      <c r="B98" s="1" t="s">
        <v>670</v>
      </c>
      <c r="C98" s="1" t="s">
        <v>648</v>
      </c>
      <c r="D98" s="15">
        <v>15.53</v>
      </c>
      <c r="E98" s="1" t="s">
        <v>50</v>
      </c>
      <c r="F98" s="521"/>
      <c r="G98" s="1"/>
    </row>
    <row r="99" spans="1:7" x14ac:dyDescent="0.25">
      <c r="A99" s="179">
        <v>45330</v>
      </c>
      <c r="B99" s="1" t="s">
        <v>643</v>
      </c>
      <c r="C99" s="1" t="s">
        <v>648</v>
      </c>
      <c r="D99" s="15">
        <v>23.89</v>
      </c>
      <c r="E99" s="1" t="s">
        <v>552</v>
      </c>
      <c r="F99" s="521"/>
      <c r="G99" s="1"/>
    </row>
    <row r="100" spans="1:7" x14ac:dyDescent="0.25">
      <c r="A100" s="179">
        <v>45330</v>
      </c>
      <c r="B100" s="1" t="s">
        <v>671</v>
      </c>
      <c r="C100" s="1" t="s">
        <v>648</v>
      </c>
      <c r="D100" s="15">
        <v>5.98</v>
      </c>
      <c r="E100" s="1" t="s">
        <v>552</v>
      </c>
      <c r="F100" s="521"/>
      <c r="G100" s="1"/>
    </row>
    <row r="101" spans="1:7" x14ac:dyDescent="0.25">
      <c r="A101" s="179">
        <v>45330</v>
      </c>
      <c r="B101" s="1" t="s">
        <v>633</v>
      </c>
      <c r="C101" s="1" t="s">
        <v>648</v>
      </c>
      <c r="D101" s="15">
        <v>10.7</v>
      </c>
      <c r="E101" s="1" t="s">
        <v>50</v>
      </c>
      <c r="F101" s="521"/>
      <c r="G101" s="1"/>
    </row>
    <row r="102" spans="1:7" x14ac:dyDescent="0.25">
      <c r="A102" s="179">
        <v>45330</v>
      </c>
      <c r="B102" s="1" t="s">
        <v>633</v>
      </c>
      <c r="C102" s="1" t="s">
        <v>648</v>
      </c>
      <c r="D102" s="15">
        <v>58.25</v>
      </c>
      <c r="E102" s="1" t="s">
        <v>50</v>
      </c>
      <c r="F102" s="521"/>
      <c r="G102" s="1"/>
    </row>
    <row r="103" spans="1:7" x14ac:dyDescent="0.25">
      <c r="A103" s="179">
        <v>45330</v>
      </c>
      <c r="B103" s="1" t="s">
        <v>633</v>
      </c>
      <c r="C103" s="1" t="s">
        <v>648</v>
      </c>
      <c r="D103" s="15">
        <v>12.12</v>
      </c>
      <c r="E103" s="1" t="s">
        <v>552</v>
      </c>
      <c r="F103" s="521"/>
      <c r="G103" s="1"/>
    </row>
    <row r="104" spans="1:7" x14ac:dyDescent="0.25">
      <c r="A104" s="179">
        <v>45331</v>
      </c>
      <c r="B104" s="1" t="s">
        <v>672</v>
      </c>
      <c r="C104" s="1" t="s">
        <v>648</v>
      </c>
      <c r="D104" s="15">
        <v>90.95</v>
      </c>
      <c r="E104" s="1" t="s">
        <v>50</v>
      </c>
      <c r="F104" s="521"/>
      <c r="G104" s="1"/>
    </row>
    <row r="105" spans="1:7" x14ac:dyDescent="0.25">
      <c r="A105" s="179">
        <v>45332</v>
      </c>
      <c r="B105" s="1" t="s">
        <v>673</v>
      </c>
      <c r="C105" s="1" t="s">
        <v>648</v>
      </c>
      <c r="D105" s="15">
        <v>54.27</v>
      </c>
      <c r="E105" s="1" t="s">
        <v>50</v>
      </c>
      <c r="F105" s="521"/>
      <c r="G105" s="1"/>
    </row>
    <row r="106" spans="1:7" x14ac:dyDescent="0.25">
      <c r="A106" s="179">
        <v>45332</v>
      </c>
      <c r="B106" s="1" t="s">
        <v>673</v>
      </c>
      <c r="C106" s="1" t="s">
        <v>648</v>
      </c>
      <c r="D106" s="15">
        <v>25.96</v>
      </c>
      <c r="E106" s="1" t="s">
        <v>50</v>
      </c>
      <c r="F106" s="521"/>
      <c r="G106" s="1"/>
    </row>
    <row r="107" spans="1:7" x14ac:dyDescent="0.25">
      <c r="A107" s="179">
        <v>45332</v>
      </c>
      <c r="B107" s="1" t="s">
        <v>650</v>
      </c>
      <c r="C107" s="1" t="s">
        <v>648</v>
      </c>
      <c r="D107" s="15">
        <v>4.62</v>
      </c>
      <c r="E107" s="1" t="s">
        <v>50</v>
      </c>
      <c r="F107" s="521"/>
      <c r="G107" s="1"/>
    </row>
    <row r="108" spans="1:7" x14ac:dyDescent="0.25">
      <c r="A108" s="179">
        <v>45332</v>
      </c>
      <c r="B108" s="1" t="s">
        <v>650</v>
      </c>
      <c r="C108" s="1" t="s">
        <v>648</v>
      </c>
      <c r="D108" s="15">
        <v>29.23</v>
      </c>
      <c r="E108" s="1" t="s">
        <v>552</v>
      </c>
      <c r="F108" s="521"/>
      <c r="G108" s="1"/>
    </row>
    <row r="109" spans="1:7" x14ac:dyDescent="0.25">
      <c r="A109" s="179">
        <v>45332</v>
      </c>
      <c r="B109" s="1" t="s">
        <v>650</v>
      </c>
      <c r="C109" s="1" t="s">
        <v>648</v>
      </c>
      <c r="D109" s="15">
        <v>33.94</v>
      </c>
      <c r="E109" s="1" t="s">
        <v>50</v>
      </c>
      <c r="F109" s="521"/>
      <c r="G109" s="1"/>
    </row>
    <row r="110" spans="1:7" x14ac:dyDescent="0.25">
      <c r="A110" s="179">
        <v>45333</v>
      </c>
      <c r="B110" s="1" t="s">
        <v>650</v>
      </c>
      <c r="C110" s="1" t="s">
        <v>648</v>
      </c>
      <c r="D110" s="15">
        <v>14.4</v>
      </c>
      <c r="E110" s="1" t="s">
        <v>50</v>
      </c>
      <c r="F110" s="521"/>
      <c r="G110" s="1"/>
    </row>
    <row r="111" spans="1:7" x14ac:dyDescent="0.25">
      <c r="A111" s="179">
        <v>45334</v>
      </c>
      <c r="B111" s="1" t="s">
        <v>649</v>
      </c>
      <c r="C111" s="1" t="s">
        <v>648</v>
      </c>
      <c r="D111" s="15">
        <v>4.09</v>
      </c>
      <c r="E111" s="1" t="s">
        <v>50</v>
      </c>
      <c r="F111" s="521"/>
      <c r="G111" s="1"/>
    </row>
    <row r="112" spans="1:7" x14ac:dyDescent="0.25">
      <c r="A112" s="179">
        <v>45335</v>
      </c>
      <c r="B112" s="1" t="s">
        <v>650</v>
      </c>
      <c r="C112" s="1" t="s">
        <v>648</v>
      </c>
      <c r="D112" s="15">
        <v>8.66</v>
      </c>
      <c r="E112" s="1"/>
      <c r="F112" s="521"/>
      <c r="G112" s="1"/>
    </row>
    <row r="113" spans="1:7" x14ac:dyDescent="0.25">
      <c r="A113" s="179">
        <v>45335</v>
      </c>
      <c r="B113" s="1" t="s">
        <v>674</v>
      </c>
      <c r="C113" s="1" t="s">
        <v>648</v>
      </c>
      <c r="D113" s="15">
        <v>27.75</v>
      </c>
      <c r="E113" s="1"/>
      <c r="F113" s="521"/>
      <c r="G113" s="1"/>
    </row>
    <row r="114" spans="1:7" x14ac:dyDescent="0.25">
      <c r="A114" s="179">
        <v>45336</v>
      </c>
      <c r="B114" s="1" t="s">
        <v>649</v>
      </c>
      <c r="C114" s="1" t="s">
        <v>648</v>
      </c>
      <c r="D114" s="15">
        <v>13.21</v>
      </c>
      <c r="E114" s="1" t="s">
        <v>50</v>
      </c>
      <c r="F114" s="521"/>
      <c r="G114" s="1"/>
    </row>
    <row r="115" spans="1:7" x14ac:dyDescent="0.25">
      <c r="A115" s="179">
        <v>45336</v>
      </c>
      <c r="B115" s="1" t="s">
        <v>675</v>
      </c>
      <c r="C115" s="1" t="s">
        <v>648</v>
      </c>
      <c r="D115" s="15">
        <v>20.55</v>
      </c>
      <c r="E115" s="1" t="s">
        <v>50</v>
      </c>
      <c r="F115" s="521"/>
      <c r="G115" s="1"/>
    </row>
    <row r="116" spans="1:7" x14ac:dyDescent="0.25">
      <c r="A116" s="179">
        <v>45336</v>
      </c>
      <c r="B116" s="1" t="s">
        <v>649</v>
      </c>
      <c r="C116" s="1" t="s">
        <v>648</v>
      </c>
      <c r="D116" s="15">
        <v>32.43</v>
      </c>
      <c r="E116" s="1"/>
      <c r="F116" s="521"/>
      <c r="G116" s="1"/>
    </row>
    <row r="117" spans="1:7" x14ac:dyDescent="0.25">
      <c r="A117" s="179">
        <v>45336</v>
      </c>
      <c r="B117" s="1" t="s">
        <v>649</v>
      </c>
      <c r="C117" s="1" t="s">
        <v>648</v>
      </c>
      <c r="D117" s="15">
        <v>32.42</v>
      </c>
      <c r="E117" s="1"/>
      <c r="F117" s="521"/>
      <c r="G117" s="1"/>
    </row>
    <row r="118" spans="1:7" x14ac:dyDescent="0.25">
      <c r="A118" s="179">
        <v>45337</v>
      </c>
      <c r="B118" s="1" t="s">
        <v>650</v>
      </c>
      <c r="C118" s="1" t="s">
        <v>648</v>
      </c>
      <c r="D118" s="15">
        <v>14.91</v>
      </c>
      <c r="E118" s="1"/>
      <c r="F118" s="521"/>
      <c r="G118" s="1"/>
    </row>
    <row r="119" spans="1:7" x14ac:dyDescent="0.25">
      <c r="A119" s="179">
        <v>45338</v>
      </c>
      <c r="B119" s="1" t="s">
        <v>670</v>
      </c>
      <c r="C119" s="1" t="s">
        <v>648</v>
      </c>
      <c r="D119" s="15">
        <v>1.35</v>
      </c>
      <c r="E119" s="1"/>
      <c r="F119" s="521"/>
      <c r="G119" s="1"/>
    </row>
    <row r="120" spans="1:7" x14ac:dyDescent="0.25">
      <c r="A120" s="179">
        <v>45338</v>
      </c>
      <c r="B120" s="1" t="s">
        <v>675</v>
      </c>
      <c r="C120" s="1" t="s">
        <v>648</v>
      </c>
      <c r="D120" s="15">
        <v>44.52</v>
      </c>
      <c r="E120" s="1"/>
      <c r="F120" s="521"/>
      <c r="G120" s="1"/>
    </row>
    <row r="121" spans="1:7" x14ac:dyDescent="0.25">
      <c r="A121" s="179">
        <v>45338</v>
      </c>
      <c r="B121" s="1" t="s">
        <v>675</v>
      </c>
      <c r="C121" s="1" t="s">
        <v>648</v>
      </c>
      <c r="D121" s="15">
        <v>76.77</v>
      </c>
      <c r="E121" s="1"/>
      <c r="F121" s="521"/>
      <c r="G121" s="1"/>
    </row>
    <row r="122" spans="1:7" x14ac:dyDescent="0.25">
      <c r="A122" s="179">
        <v>45338</v>
      </c>
      <c r="B122" s="1" t="s">
        <v>650</v>
      </c>
      <c r="C122" s="1" t="s">
        <v>648</v>
      </c>
      <c r="D122" s="15">
        <v>6.5</v>
      </c>
      <c r="E122" s="1"/>
      <c r="F122" s="521"/>
      <c r="G122" s="1"/>
    </row>
    <row r="123" spans="1:7" x14ac:dyDescent="0.25">
      <c r="A123" s="179">
        <v>45338</v>
      </c>
      <c r="B123" s="1" t="s">
        <v>675</v>
      </c>
      <c r="C123" s="1" t="s">
        <v>648</v>
      </c>
      <c r="D123" s="15">
        <v>46.27</v>
      </c>
      <c r="E123" s="1"/>
      <c r="F123" s="521"/>
      <c r="G123" s="1"/>
    </row>
    <row r="124" spans="1:7" x14ac:dyDescent="0.25">
      <c r="A124" s="179">
        <v>45339</v>
      </c>
      <c r="B124" s="1" t="s">
        <v>649</v>
      </c>
      <c r="C124" s="1" t="s">
        <v>648</v>
      </c>
      <c r="D124" s="15">
        <v>31.63</v>
      </c>
      <c r="E124" s="1"/>
      <c r="F124" s="521"/>
      <c r="G124" s="1"/>
    </row>
    <row r="125" spans="1:7" x14ac:dyDescent="0.25">
      <c r="A125" s="179">
        <v>45340</v>
      </c>
      <c r="B125" s="1" t="s">
        <v>667</v>
      </c>
      <c r="C125" s="1" t="s">
        <v>648</v>
      </c>
      <c r="D125" s="15">
        <v>42.83</v>
      </c>
      <c r="E125" s="1"/>
      <c r="F125" s="521"/>
      <c r="G125" s="1"/>
    </row>
    <row r="126" spans="1:7" x14ac:dyDescent="0.25">
      <c r="A126" s="179">
        <v>45340</v>
      </c>
      <c r="B126" s="1" t="s">
        <v>676</v>
      </c>
      <c r="C126" s="1" t="s">
        <v>648</v>
      </c>
      <c r="D126" s="15">
        <f>387.5/10</f>
        <v>38.75</v>
      </c>
      <c r="E126" s="1"/>
      <c r="F126" s="521"/>
      <c r="G126" s="1"/>
    </row>
    <row r="127" spans="1:7" x14ac:dyDescent="0.25">
      <c r="A127" s="179">
        <v>45340</v>
      </c>
      <c r="B127" s="1" t="s">
        <v>677</v>
      </c>
      <c r="C127" s="1" t="s">
        <v>648</v>
      </c>
      <c r="D127" s="15"/>
      <c r="E127" s="1" t="s">
        <v>50</v>
      </c>
      <c r="F127" s="521"/>
      <c r="G127" s="1">
        <v>84.47</v>
      </c>
    </row>
    <row r="128" spans="1:7" x14ac:dyDescent="0.25">
      <c r="A128" s="179">
        <v>45340</v>
      </c>
      <c r="B128" s="1" t="s">
        <v>650</v>
      </c>
      <c r="C128" s="1" t="s">
        <v>648</v>
      </c>
      <c r="D128" s="15">
        <v>3.09</v>
      </c>
      <c r="E128" s="1"/>
      <c r="F128" s="521"/>
      <c r="G128" s="1"/>
    </row>
    <row r="129" spans="1:7" x14ac:dyDescent="0.25">
      <c r="A129" s="179">
        <v>45341</v>
      </c>
      <c r="B129" s="1" t="s">
        <v>678</v>
      </c>
      <c r="C129" s="1" t="s">
        <v>648</v>
      </c>
      <c r="D129" s="15">
        <v>12.59</v>
      </c>
      <c r="E129" s="1" t="s">
        <v>552</v>
      </c>
      <c r="F129" s="521"/>
      <c r="G129" s="1"/>
    </row>
    <row r="130" spans="1:7" x14ac:dyDescent="0.25">
      <c r="A130" s="179">
        <v>45342</v>
      </c>
      <c r="B130" s="1" t="s">
        <v>638</v>
      </c>
      <c r="C130" s="1" t="s">
        <v>657</v>
      </c>
      <c r="D130" s="15">
        <v>7.02</v>
      </c>
      <c r="E130" s="1"/>
      <c r="F130" s="521"/>
      <c r="G130" s="1"/>
    </row>
    <row r="131" spans="1:7" x14ac:dyDescent="0.25">
      <c r="A131" s="179">
        <v>45342</v>
      </c>
      <c r="B131" s="1" t="s">
        <v>638</v>
      </c>
      <c r="C131" s="1" t="s">
        <v>657</v>
      </c>
      <c r="D131" s="15">
        <v>6.22</v>
      </c>
      <c r="E131" s="1" t="s">
        <v>552</v>
      </c>
      <c r="F131" s="521"/>
      <c r="G131" s="1"/>
    </row>
    <row r="132" spans="1:7" x14ac:dyDescent="0.25">
      <c r="A132" s="179">
        <v>45342</v>
      </c>
      <c r="B132" s="1" t="s">
        <v>638</v>
      </c>
      <c r="C132" s="1" t="s">
        <v>657</v>
      </c>
      <c r="D132" s="15">
        <v>5.4</v>
      </c>
      <c r="E132" s="1" t="s">
        <v>552</v>
      </c>
      <c r="F132" s="521"/>
      <c r="G132" s="1"/>
    </row>
    <row r="133" spans="1:7" x14ac:dyDescent="0.25">
      <c r="A133" s="179">
        <v>45342</v>
      </c>
      <c r="B133" s="1" t="s">
        <v>638</v>
      </c>
      <c r="C133" s="1" t="s">
        <v>657</v>
      </c>
      <c r="D133" s="15">
        <v>12.02</v>
      </c>
      <c r="E133" s="1" t="s">
        <v>552</v>
      </c>
      <c r="F133" s="521"/>
      <c r="G133" s="1"/>
    </row>
    <row r="134" spans="1:7" x14ac:dyDescent="0.25">
      <c r="A134" s="179">
        <v>45342</v>
      </c>
      <c r="B134" s="1" t="s">
        <v>638</v>
      </c>
      <c r="C134" s="1" t="s">
        <v>657</v>
      </c>
      <c r="D134" s="15">
        <v>6.22</v>
      </c>
      <c r="E134" s="1" t="s">
        <v>552</v>
      </c>
      <c r="F134" s="521"/>
      <c r="G134" s="1"/>
    </row>
    <row r="135" spans="1:7" x14ac:dyDescent="0.25">
      <c r="A135" s="179">
        <v>45342</v>
      </c>
      <c r="B135" s="1" t="s">
        <v>638</v>
      </c>
      <c r="C135" s="1" t="s">
        <v>657</v>
      </c>
      <c r="D135" s="15">
        <v>2.67</v>
      </c>
      <c r="E135" s="1"/>
      <c r="F135" s="521"/>
      <c r="G135" s="1"/>
    </row>
    <row r="136" spans="1:7" x14ac:dyDescent="0.25">
      <c r="A136" s="179">
        <v>45342</v>
      </c>
      <c r="B136" s="1" t="s">
        <v>638</v>
      </c>
      <c r="C136" s="1" t="s">
        <v>657</v>
      </c>
      <c r="D136" s="15">
        <v>9.07</v>
      </c>
      <c r="E136" s="1"/>
      <c r="F136" s="521"/>
      <c r="G136" s="1"/>
    </row>
    <row r="137" spans="1:7" x14ac:dyDescent="0.25">
      <c r="A137" s="179">
        <v>45342</v>
      </c>
      <c r="B137" s="1" t="s">
        <v>638</v>
      </c>
      <c r="C137" s="1" t="s">
        <v>657</v>
      </c>
      <c r="D137" s="15">
        <v>7.29</v>
      </c>
      <c r="E137" s="1"/>
      <c r="F137" s="521"/>
      <c r="G137" s="1"/>
    </row>
    <row r="138" spans="1:7" x14ac:dyDescent="0.25">
      <c r="A138" s="179">
        <v>45342</v>
      </c>
      <c r="B138" s="1" t="s">
        <v>638</v>
      </c>
      <c r="C138" s="1" t="s">
        <v>657</v>
      </c>
      <c r="D138" s="15">
        <v>4.25</v>
      </c>
      <c r="E138" s="1"/>
      <c r="F138" s="521"/>
      <c r="G138" s="1"/>
    </row>
    <row r="139" spans="1:7" x14ac:dyDescent="0.25">
      <c r="A139" s="179">
        <v>45342</v>
      </c>
      <c r="B139" s="1" t="s">
        <v>638</v>
      </c>
      <c r="C139" s="1" t="s">
        <v>657</v>
      </c>
      <c r="D139" s="15">
        <v>5.22</v>
      </c>
      <c r="E139" s="1"/>
      <c r="F139" s="521"/>
      <c r="G139" s="1"/>
    </row>
    <row r="140" spans="1:7" x14ac:dyDescent="0.25">
      <c r="A140" s="179">
        <v>45343</v>
      </c>
      <c r="B140" s="1" t="s">
        <v>679</v>
      </c>
      <c r="C140" s="1" t="s">
        <v>657</v>
      </c>
      <c r="D140" s="15">
        <v>14.67</v>
      </c>
      <c r="E140" s="1"/>
      <c r="F140" s="521"/>
      <c r="G140" s="1"/>
    </row>
    <row r="141" spans="1:7" x14ac:dyDescent="0.25">
      <c r="A141" s="179">
        <v>45343</v>
      </c>
      <c r="B141" s="1" t="s">
        <v>631</v>
      </c>
      <c r="C141" s="1" t="s">
        <v>657</v>
      </c>
      <c r="D141" s="15">
        <v>5.14</v>
      </c>
      <c r="E141" s="1"/>
      <c r="F141" s="521"/>
      <c r="G141" s="1"/>
    </row>
    <row r="142" spans="1:7" x14ac:dyDescent="0.25">
      <c r="A142" s="179">
        <v>45343</v>
      </c>
      <c r="B142" s="1" t="s">
        <v>680</v>
      </c>
      <c r="C142" s="1" t="s">
        <v>657</v>
      </c>
      <c r="D142" s="15">
        <v>33.659999999999997</v>
      </c>
      <c r="E142" s="1"/>
      <c r="F142" s="521"/>
      <c r="G142" s="1"/>
    </row>
    <row r="143" spans="1:7" x14ac:dyDescent="0.25">
      <c r="A143" s="179">
        <v>45344</v>
      </c>
      <c r="B143" s="1" t="s">
        <v>631</v>
      </c>
      <c r="C143" s="1" t="s">
        <v>657</v>
      </c>
      <c r="D143" s="15">
        <v>5.68</v>
      </c>
      <c r="E143" s="1"/>
      <c r="F143" s="521"/>
      <c r="G143" s="1"/>
    </row>
    <row r="144" spans="1:7" x14ac:dyDescent="0.25">
      <c r="A144" s="179">
        <v>45344</v>
      </c>
      <c r="B144" s="1" t="s">
        <v>631</v>
      </c>
      <c r="C144" s="1" t="s">
        <v>657</v>
      </c>
      <c r="D144" s="15">
        <v>14.94</v>
      </c>
      <c r="E144" s="1"/>
      <c r="F144" s="521"/>
      <c r="G144" s="1"/>
    </row>
    <row r="145" spans="1:7" x14ac:dyDescent="0.25">
      <c r="A145" s="179">
        <v>45344</v>
      </c>
      <c r="B145" s="1" t="s">
        <v>650</v>
      </c>
      <c r="C145" s="1" t="s">
        <v>681</v>
      </c>
      <c r="D145" s="15">
        <v>5.7</v>
      </c>
      <c r="E145" s="1"/>
      <c r="F145" s="521"/>
      <c r="G145" s="1"/>
    </row>
    <row r="146" spans="1:7" x14ac:dyDescent="0.25">
      <c r="A146" s="179">
        <v>45344</v>
      </c>
      <c r="B146" s="1" t="s">
        <v>650</v>
      </c>
      <c r="C146" s="1" t="s">
        <v>681</v>
      </c>
      <c r="D146" s="15">
        <v>10.28</v>
      </c>
      <c r="E146" s="1"/>
      <c r="F146" s="521"/>
      <c r="G146" s="1"/>
    </row>
    <row r="147" spans="1:7" x14ac:dyDescent="0.25">
      <c r="A147" s="179">
        <v>45344</v>
      </c>
      <c r="B147" s="1" t="s">
        <v>682</v>
      </c>
      <c r="C147" s="1" t="s">
        <v>681</v>
      </c>
      <c r="D147" s="15">
        <v>15.4</v>
      </c>
      <c r="E147" s="1"/>
      <c r="F147" s="521"/>
      <c r="G147" s="1"/>
    </row>
    <row r="148" spans="1:7" x14ac:dyDescent="0.25">
      <c r="A148" s="179">
        <v>45344</v>
      </c>
      <c r="B148" s="1" t="s">
        <v>651</v>
      </c>
      <c r="C148" s="1" t="s">
        <v>681</v>
      </c>
      <c r="D148" s="15">
        <v>12.18</v>
      </c>
      <c r="E148" s="1"/>
      <c r="F148" s="521"/>
      <c r="G148" s="1"/>
    </row>
    <row r="149" spans="1:7" x14ac:dyDescent="0.25">
      <c r="A149" s="179">
        <v>45345</v>
      </c>
      <c r="B149" s="1" t="s">
        <v>651</v>
      </c>
      <c r="C149" s="1" t="s">
        <v>681</v>
      </c>
      <c r="D149" s="15">
        <v>26.7</v>
      </c>
      <c r="E149" s="1"/>
      <c r="F149" s="521"/>
      <c r="G149" s="1"/>
    </row>
    <row r="150" spans="1:7" x14ac:dyDescent="0.25">
      <c r="A150" s="179">
        <v>45345</v>
      </c>
      <c r="B150" s="1" t="s">
        <v>651</v>
      </c>
      <c r="C150" s="1" t="s">
        <v>681</v>
      </c>
      <c r="D150" s="15">
        <v>15.63</v>
      </c>
      <c r="E150" s="1"/>
      <c r="F150" s="521"/>
      <c r="G150" s="1"/>
    </row>
    <row r="151" spans="1:7" x14ac:dyDescent="0.25">
      <c r="A151" s="179">
        <v>45346</v>
      </c>
      <c r="B151" s="1" t="s">
        <v>631</v>
      </c>
      <c r="C151" s="1" t="s">
        <v>681</v>
      </c>
      <c r="D151" s="15">
        <v>13.91</v>
      </c>
      <c r="E151" s="1"/>
      <c r="F151" s="521"/>
      <c r="G151" s="1"/>
    </row>
    <row r="152" spans="1:7" x14ac:dyDescent="0.25">
      <c r="A152" s="1"/>
      <c r="B152" s="1"/>
      <c r="C152" s="1"/>
      <c r="D152" s="15"/>
      <c r="E152" s="1"/>
      <c r="F152" s="521"/>
      <c r="G152" s="1"/>
    </row>
    <row r="153" spans="1:7" x14ac:dyDescent="0.25">
      <c r="A153" s="1"/>
      <c r="B153" s="1"/>
      <c r="C153" s="1"/>
      <c r="D153" s="15"/>
      <c r="E153" s="1"/>
      <c r="F153" s="521"/>
      <c r="G153" s="1"/>
    </row>
    <row r="154" spans="1:7" x14ac:dyDescent="0.25">
      <c r="A154" s="1"/>
      <c r="B154" s="1"/>
      <c r="C154" s="1"/>
      <c r="D154" s="15"/>
      <c r="E154" s="1"/>
      <c r="F154" s="521"/>
      <c r="G154" s="1"/>
    </row>
    <row r="155" spans="1:7" x14ac:dyDescent="0.25">
      <c r="A155" s="1"/>
      <c r="B155" s="1"/>
      <c r="C155" s="1"/>
      <c r="D155" s="15"/>
      <c r="E155" s="1"/>
      <c r="F155" s="521"/>
      <c r="G155" s="1"/>
    </row>
    <row r="156" spans="1:7" x14ac:dyDescent="0.25">
      <c r="A156" s="1"/>
      <c r="B156" s="1"/>
      <c r="C156" s="1"/>
      <c r="D156" s="15"/>
      <c r="E156" s="1"/>
      <c r="F156" s="521"/>
      <c r="G156" s="1"/>
    </row>
    <row r="157" spans="1:7" x14ac:dyDescent="0.25">
      <c r="A157" s="1"/>
      <c r="B157" s="1"/>
      <c r="C157" s="1"/>
      <c r="D157" s="15"/>
      <c r="E157" s="1"/>
      <c r="F157" s="521"/>
      <c r="G157" s="1"/>
    </row>
    <row r="158" spans="1:7" x14ac:dyDescent="0.25">
      <c r="A158" s="1"/>
      <c r="B158" s="1"/>
      <c r="C158" s="1"/>
      <c r="D158" s="15"/>
      <c r="E158" s="1"/>
      <c r="F158" s="521"/>
      <c r="G158" s="1"/>
    </row>
    <row r="159" spans="1:7" x14ac:dyDescent="0.25">
      <c r="A159" s="1"/>
      <c r="B159" s="1"/>
      <c r="C159" s="1"/>
      <c r="D159" s="15"/>
      <c r="E159" s="1"/>
      <c r="F159" s="521"/>
      <c r="G159" s="1"/>
    </row>
    <row r="160" spans="1:7" x14ac:dyDescent="0.25">
      <c r="A160" s="1"/>
      <c r="B160" s="1"/>
      <c r="C160" s="1"/>
      <c r="D160" s="15"/>
      <c r="E160" s="1"/>
      <c r="F160" s="521"/>
      <c r="G160" s="1"/>
    </row>
    <row r="161" spans="1:7" x14ac:dyDescent="0.25">
      <c r="A161" s="1"/>
      <c r="B161" s="1"/>
      <c r="C161" s="1"/>
      <c r="D161" s="15"/>
      <c r="E161" s="1"/>
      <c r="F161" s="521"/>
      <c r="G161" s="1"/>
    </row>
    <row r="162" spans="1:7" x14ac:dyDescent="0.25">
      <c r="A162" s="1"/>
      <c r="B162" s="1"/>
      <c r="C162" s="1"/>
      <c r="D162" s="15"/>
      <c r="E162" s="1"/>
      <c r="F162" s="521"/>
      <c r="G162" s="1"/>
    </row>
    <row r="163" spans="1:7" x14ac:dyDescent="0.25">
      <c r="A163" s="1"/>
      <c r="B163" s="1"/>
      <c r="C163" s="1"/>
      <c r="D163" s="15"/>
      <c r="E163" s="1"/>
      <c r="F163" s="521"/>
      <c r="G163" s="1"/>
    </row>
    <row r="164" spans="1:7" x14ac:dyDescent="0.25">
      <c r="A164" s="1"/>
      <c r="B164" s="1"/>
      <c r="C164" s="1"/>
      <c r="D164" s="15"/>
      <c r="E164" s="1"/>
      <c r="F164" s="521"/>
      <c r="G164" s="1"/>
    </row>
    <row r="165" spans="1:7" x14ac:dyDescent="0.25">
      <c r="A165" s="1"/>
      <c r="B165" s="1"/>
      <c r="C165" s="1"/>
      <c r="D165" s="15"/>
      <c r="E165" s="1"/>
      <c r="F165" s="521"/>
      <c r="G165" s="1"/>
    </row>
    <row r="166" spans="1:7" x14ac:dyDescent="0.25">
      <c r="A166" s="1"/>
      <c r="B166" s="1"/>
      <c r="C166" s="1"/>
      <c r="D166" s="15"/>
      <c r="E166" s="1"/>
      <c r="F166" s="521"/>
      <c r="G166" s="1"/>
    </row>
    <row r="167" spans="1:7" x14ac:dyDescent="0.25">
      <c r="A167" s="1"/>
      <c r="B167" s="1"/>
      <c r="C167" s="1"/>
      <c r="D167" s="15"/>
      <c r="E167" s="1"/>
      <c r="F167" s="521"/>
      <c r="G167" s="1"/>
    </row>
    <row r="168" spans="1:7" x14ac:dyDescent="0.25">
      <c r="A168" s="1"/>
      <c r="B168" s="1"/>
      <c r="C168" s="1"/>
      <c r="D168" s="15"/>
      <c r="E168" s="1"/>
      <c r="F168" s="521"/>
      <c r="G168" s="1"/>
    </row>
    <row r="169" spans="1:7" x14ac:dyDescent="0.25">
      <c r="A169" s="1"/>
      <c r="B169" s="1"/>
      <c r="C169" s="1"/>
      <c r="D169" s="15"/>
      <c r="E169" s="1"/>
      <c r="F169" s="521"/>
      <c r="G169" s="1"/>
    </row>
    <row r="170" spans="1:7" x14ac:dyDescent="0.25">
      <c r="A170" s="1"/>
      <c r="B170" s="1"/>
      <c r="C170" s="1"/>
      <c r="D170" s="15"/>
      <c r="E170" s="1"/>
      <c r="F170" s="521"/>
      <c r="G170" s="1"/>
    </row>
    <row r="171" spans="1:7" x14ac:dyDescent="0.25">
      <c r="A171" s="1"/>
      <c r="B171" s="1"/>
      <c r="C171" s="1"/>
      <c r="D171" s="15"/>
      <c r="E171" s="1"/>
      <c r="F171" s="521"/>
      <c r="G171" s="1"/>
    </row>
    <row r="172" spans="1:7" x14ac:dyDescent="0.25">
      <c r="A172" s="1"/>
      <c r="B172" s="1"/>
      <c r="C172" s="1"/>
      <c r="D172" s="15"/>
      <c r="E172" s="1"/>
      <c r="F172" s="521"/>
      <c r="G172" s="1"/>
    </row>
    <row r="173" spans="1:7" x14ac:dyDescent="0.25">
      <c r="A173" s="1"/>
      <c r="B173" s="1"/>
      <c r="C173" s="1"/>
      <c r="D173" s="15"/>
      <c r="E173" s="1"/>
      <c r="F173" s="521"/>
      <c r="G173" s="1"/>
    </row>
    <row r="174" spans="1:7" x14ac:dyDescent="0.25">
      <c r="A174" s="1"/>
      <c r="B174" s="1"/>
      <c r="C174" s="1"/>
      <c r="D174" s="15"/>
      <c r="E174" s="1"/>
      <c r="F174" s="521"/>
      <c r="G174" s="1"/>
    </row>
    <row r="175" spans="1:7" x14ac:dyDescent="0.25">
      <c r="A175" s="1"/>
      <c r="B175" s="1"/>
      <c r="C175" s="1"/>
      <c r="D175" s="15"/>
      <c r="E175" s="1"/>
      <c r="F175" s="521"/>
      <c r="G175" s="1"/>
    </row>
    <row r="176" spans="1:7" x14ac:dyDescent="0.25">
      <c r="A176" s="1"/>
      <c r="B176" s="1"/>
      <c r="C176" s="1"/>
      <c r="D176" s="15"/>
      <c r="E176" s="1"/>
      <c r="F176" s="521"/>
      <c r="G176" s="1"/>
    </row>
    <row r="177" spans="1:7" x14ac:dyDescent="0.25">
      <c r="A177" s="1"/>
      <c r="B177" s="1"/>
      <c r="C177" s="1"/>
      <c r="D177" s="15"/>
      <c r="E177" s="1"/>
      <c r="F177" s="521"/>
      <c r="G177" s="1"/>
    </row>
    <row r="178" spans="1:7" x14ac:dyDescent="0.25">
      <c r="A178" s="1"/>
      <c r="B178" s="1"/>
      <c r="C178" s="1"/>
      <c r="D178" s="15"/>
      <c r="E178" s="1"/>
      <c r="F178" s="521"/>
      <c r="G178" s="1"/>
    </row>
    <row r="179" spans="1:7" x14ac:dyDescent="0.25">
      <c r="A179" s="1"/>
      <c r="B179" s="1"/>
      <c r="C179" s="1"/>
      <c r="D179" s="15"/>
      <c r="E179" s="1"/>
      <c r="F179" s="521"/>
      <c r="G179" s="1"/>
    </row>
    <row r="180" spans="1:7" x14ac:dyDescent="0.25">
      <c r="A180" s="1"/>
      <c r="B180" s="1"/>
      <c r="C180" s="1"/>
      <c r="D180" s="15"/>
      <c r="E180" s="1"/>
      <c r="F180" s="521"/>
      <c r="G180" s="1"/>
    </row>
    <row r="181" spans="1:7" x14ac:dyDescent="0.25">
      <c r="A181" s="1"/>
      <c r="B181" s="1"/>
      <c r="C181" s="1"/>
      <c r="D181" s="15"/>
      <c r="E181" s="1"/>
      <c r="F181" s="521"/>
      <c r="G181" s="1"/>
    </row>
    <row r="182" spans="1:7" x14ac:dyDescent="0.25">
      <c r="A182" s="1"/>
      <c r="B182" s="1"/>
      <c r="C182" s="1"/>
      <c r="D182" s="15"/>
      <c r="E182" s="1"/>
      <c r="F182" s="521"/>
      <c r="G182" s="1"/>
    </row>
    <row r="183" spans="1:7" x14ac:dyDescent="0.25">
      <c r="A183" s="1"/>
      <c r="B183" s="1"/>
      <c r="C183" s="1"/>
      <c r="D183" s="15"/>
      <c r="E183" s="1"/>
      <c r="F183" s="521"/>
      <c r="G183" s="1"/>
    </row>
    <row r="184" spans="1:7" x14ac:dyDescent="0.25">
      <c r="A184" s="1"/>
      <c r="B184" s="1"/>
      <c r="C184" s="1"/>
      <c r="D184" s="15"/>
      <c r="E184" s="1"/>
      <c r="F184" s="521"/>
      <c r="G184" s="1"/>
    </row>
    <row r="185" spans="1:7" x14ac:dyDescent="0.25">
      <c r="A185" s="1"/>
      <c r="B185" s="1"/>
      <c r="C185" s="1"/>
      <c r="D185" s="15"/>
      <c r="E185" s="1"/>
      <c r="F185" s="521"/>
      <c r="G185" s="1"/>
    </row>
    <row r="186" spans="1:7" x14ac:dyDescent="0.25">
      <c r="A186" s="1"/>
      <c r="B186" s="1"/>
      <c r="C186" s="1"/>
      <c r="D186" s="15"/>
      <c r="E186" s="1"/>
      <c r="F186" s="521"/>
      <c r="G186" s="1"/>
    </row>
    <row r="187" spans="1:7" x14ac:dyDescent="0.25">
      <c r="A187" s="1"/>
      <c r="B187" s="1"/>
      <c r="C187" s="1"/>
      <c r="D187" s="15"/>
      <c r="E187" s="1"/>
      <c r="F187" s="521"/>
      <c r="G187" s="1"/>
    </row>
    <row r="188" spans="1:7" x14ac:dyDescent="0.25">
      <c r="A188" s="1"/>
      <c r="B188" s="1"/>
      <c r="C188" s="1"/>
      <c r="D188" s="15"/>
      <c r="E188" s="1"/>
      <c r="F188" s="521"/>
      <c r="G188" s="1"/>
    </row>
    <row r="189" spans="1:7" x14ac:dyDescent="0.25">
      <c r="A189" s="1"/>
      <c r="B189" s="1"/>
      <c r="C189" s="1"/>
      <c r="D189" s="15"/>
      <c r="E189" s="1"/>
      <c r="F189" s="521"/>
      <c r="G189" s="1"/>
    </row>
    <row r="190" spans="1:7" x14ac:dyDescent="0.25">
      <c r="A190" s="1"/>
      <c r="B190" s="1"/>
      <c r="C190" s="1"/>
      <c r="D190" s="15"/>
      <c r="E190" s="1"/>
      <c r="F190" s="521"/>
      <c r="G190" s="1"/>
    </row>
    <row r="191" spans="1:7" x14ac:dyDescent="0.25">
      <c r="A191" s="1"/>
      <c r="B191" s="1"/>
      <c r="C191" s="1"/>
      <c r="D191" s="15"/>
      <c r="E191" s="1"/>
      <c r="F191" s="521"/>
      <c r="G191" s="1"/>
    </row>
    <row r="192" spans="1:7" x14ac:dyDescent="0.25">
      <c r="A192" s="1"/>
      <c r="B192" s="1"/>
      <c r="C192" s="1"/>
      <c r="D192" s="15"/>
      <c r="E192" s="1"/>
      <c r="F192" s="521"/>
      <c r="G192" s="1"/>
    </row>
    <row r="193" spans="1:7" x14ac:dyDescent="0.25">
      <c r="A193" s="1"/>
      <c r="B193" s="1"/>
      <c r="C193" s="1"/>
      <c r="D193" s="15"/>
      <c r="E193" s="1"/>
      <c r="F193" s="521"/>
      <c r="G193" s="1"/>
    </row>
    <row r="194" spans="1:7" x14ac:dyDescent="0.25">
      <c r="A194" s="1"/>
      <c r="B194" s="1"/>
      <c r="C194" s="1"/>
      <c r="D194" s="15"/>
      <c r="E194" s="1"/>
      <c r="F194" s="521"/>
      <c r="G194" s="1"/>
    </row>
    <row r="195" spans="1:7" x14ac:dyDescent="0.25">
      <c r="A195" s="1"/>
      <c r="B195" s="1"/>
      <c r="C195" s="1"/>
      <c r="D195" s="15"/>
      <c r="E195" s="1"/>
      <c r="F195" s="521"/>
      <c r="G195" s="1"/>
    </row>
    <row r="196" spans="1:7" x14ac:dyDescent="0.25">
      <c r="A196" s="1"/>
      <c r="B196" s="1"/>
      <c r="C196" s="1"/>
      <c r="D196" s="15"/>
      <c r="E196" s="1"/>
      <c r="F196" s="521"/>
      <c r="G196" s="1"/>
    </row>
    <row r="197" spans="1:7" x14ac:dyDescent="0.25">
      <c r="A197" s="1"/>
      <c r="B197" s="1"/>
      <c r="C197" s="1"/>
      <c r="D197" s="15"/>
      <c r="E197" s="1"/>
      <c r="F197" s="521"/>
      <c r="G197" s="1"/>
    </row>
    <row r="198" spans="1:7" x14ac:dyDescent="0.25">
      <c r="A198" s="1"/>
      <c r="B198" s="1"/>
      <c r="C198" s="1"/>
      <c r="D198" s="15"/>
      <c r="E198" s="1"/>
      <c r="F198" s="521"/>
      <c r="G198" s="1"/>
    </row>
    <row r="199" spans="1:7" x14ac:dyDescent="0.25">
      <c r="A199" s="1"/>
      <c r="B199" s="1"/>
      <c r="C199" s="1"/>
      <c r="D199" s="15"/>
      <c r="E199" s="1"/>
      <c r="F199" s="521"/>
      <c r="G199" s="1"/>
    </row>
    <row r="200" spans="1:7" x14ac:dyDescent="0.25">
      <c r="A200" s="1"/>
      <c r="B200" s="1"/>
      <c r="C200" s="1"/>
      <c r="D200" s="15"/>
      <c r="E200" s="1"/>
      <c r="F200" s="521"/>
      <c r="G200" s="1"/>
    </row>
    <row r="201" spans="1:7" x14ac:dyDescent="0.25">
      <c r="A201" s="1"/>
      <c r="B201" s="1"/>
      <c r="C201" s="1"/>
      <c r="D201" s="15"/>
      <c r="E201" s="1"/>
      <c r="F201" s="521"/>
      <c r="G201" s="1"/>
    </row>
    <row r="202" spans="1:7" x14ac:dyDescent="0.25">
      <c r="A202" s="1"/>
      <c r="B202" s="1"/>
      <c r="C202" s="1"/>
      <c r="D202" s="15"/>
      <c r="E202" s="1"/>
      <c r="F202" s="521"/>
      <c r="G202" s="1"/>
    </row>
    <row r="203" spans="1:7" x14ac:dyDescent="0.25">
      <c r="A203" s="1"/>
      <c r="B203" s="1"/>
      <c r="C203" s="1"/>
      <c r="D203" s="15"/>
      <c r="E203" s="1"/>
      <c r="F203" s="521"/>
      <c r="G203" s="1"/>
    </row>
    <row r="204" spans="1:7" x14ac:dyDescent="0.25">
      <c r="A204" s="1"/>
      <c r="B204" s="1"/>
      <c r="C204" s="1"/>
      <c r="D204" s="15"/>
      <c r="E204" s="1"/>
      <c r="F204" s="521"/>
      <c r="G204" s="1"/>
    </row>
    <row r="205" spans="1:7" x14ac:dyDescent="0.25">
      <c r="A205" s="1"/>
      <c r="B205" s="1"/>
      <c r="C205" s="1"/>
      <c r="D205" s="15"/>
      <c r="E205" s="1"/>
      <c r="F205" s="521"/>
      <c r="G205" s="1"/>
    </row>
    <row r="206" spans="1:7" x14ac:dyDescent="0.25">
      <c r="A206" s="1"/>
      <c r="B206" s="1"/>
      <c r="C206" s="1"/>
      <c r="D206" s="15"/>
      <c r="E206" s="1"/>
      <c r="F206" s="521"/>
      <c r="G206" s="1"/>
    </row>
    <row r="207" spans="1:7" x14ac:dyDescent="0.25">
      <c r="A207" s="1"/>
      <c r="B207" s="1"/>
      <c r="C207" s="1"/>
      <c r="D207" s="15"/>
      <c r="E207" s="1"/>
      <c r="F207" s="521"/>
      <c r="G207" s="1"/>
    </row>
    <row r="208" spans="1:7" x14ac:dyDescent="0.25">
      <c r="A208" s="1"/>
      <c r="B208" s="1"/>
      <c r="C208" s="1"/>
      <c r="D208" s="15"/>
      <c r="E208" s="1"/>
      <c r="F208" s="521"/>
      <c r="G208" s="1"/>
    </row>
    <row r="209" spans="1:7" x14ac:dyDescent="0.25">
      <c r="A209" s="1"/>
      <c r="B209" s="1"/>
      <c r="C209" s="1"/>
      <c r="D209" s="15"/>
      <c r="E209" s="1"/>
      <c r="F209" s="521"/>
      <c r="G209" s="1"/>
    </row>
    <row r="210" spans="1:7" x14ac:dyDescent="0.25">
      <c r="A210" s="1"/>
      <c r="B210" s="1"/>
      <c r="C210" s="1"/>
      <c r="D210" s="15"/>
      <c r="E210" s="1"/>
      <c r="F210" s="521"/>
      <c r="G210" s="1"/>
    </row>
    <row r="211" spans="1:7" x14ac:dyDescent="0.25">
      <c r="A211" s="1"/>
      <c r="B211" s="1"/>
      <c r="C211" s="1"/>
      <c r="D211" s="15"/>
      <c r="E211" s="1"/>
      <c r="F211" s="521"/>
      <c r="G211" s="1"/>
    </row>
    <row r="212" spans="1:7" x14ac:dyDescent="0.25">
      <c r="A212" s="1"/>
      <c r="B212" s="1"/>
      <c r="C212" s="1"/>
      <c r="D212" s="15"/>
      <c r="E212" s="1"/>
      <c r="F212" s="521"/>
      <c r="G212" s="1"/>
    </row>
    <row r="213" spans="1:7" x14ac:dyDescent="0.25">
      <c r="A213" s="1"/>
      <c r="B213" s="1"/>
      <c r="C213" s="1"/>
      <c r="D213" s="15"/>
      <c r="E213" s="1"/>
      <c r="F213" s="521"/>
      <c r="G213" s="1"/>
    </row>
    <row r="214" spans="1:7" x14ac:dyDescent="0.25">
      <c r="A214" s="1"/>
      <c r="B214" s="1"/>
      <c r="C214" s="1"/>
      <c r="D214" s="15"/>
      <c r="E214" s="1"/>
      <c r="F214" s="521"/>
      <c r="G214" s="1"/>
    </row>
    <row r="215" spans="1:7" x14ac:dyDescent="0.25">
      <c r="A215" s="1"/>
      <c r="B215" s="1"/>
      <c r="C215" s="1"/>
      <c r="D215" s="15"/>
      <c r="E215" s="1"/>
      <c r="F215" s="521"/>
      <c r="G215" s="1"/>
    </row>
    <row r="216" spans="1:7" x14ac:dyDescent="0.25">
      <c r="A216" s="1"/>
      <c r="B216" s="1"/>
      <c r="C216" s="1"/>
      <c r="D216" s="15"/>
      <c r="E216" s="1"/>
      <c r="F216" s="521"/>
      <c r="G216" s="1"/>
    </row>
    <row r="217" spans="1:7" x14ac:dyDescent="0.25">
      <c r="A217" s="1"/>
      <c r="B217" s="1"/>
      <c r="C217" s="1"/>
      <c r="D217" s="15"/>
      <c r="E217" s="1"/>
      <c r="F217" s="521"/>
      <c r="G217" s="1"/>
    </row>
    <row r="218" spans="1:7" x14ac:dyDescent="0.25">
      <c r="A218" s="1"/>
      <c r="B218" s="1"/>
      <c r="C218" s="1"/>
      <c r="D218" s="15"/>
      <c r="E218" s="1"/>
      <c r="F218" s="521"/>
      <c r="G218" s="1"/>
    </row>
    <row r="219" spans="1:7" x14ac:dyDescent="0.25">
      <c r="A219" s="1"/>
      <c r="B219" s="1"/>
      <c r="C219" s="1"/>
      <c r="D219" s="15"/>
      <c r="E219" s="1"/>
      <c r="F219" s="521"/>
      <c r="G219" s="1"/>
    </row>
    <row r="220" spans="1:7" x14ac:dyDescent="0.25">
      <c r="A220" s="1"/>
      <c r="B220" s="1"/>
      <c r="C220" s="1"/>
      <c r="D220" s="15"/>
      <c r="E220" s="1"/>
      <c r="F220" s="521"/>
      <c r="G220" s="1"/>
    </row>
    <row r="221" spans="1:7" x14ac:dyDescent="0.25">
      <c r="A221" s="1"/>
      <c r="B221" s="1"/>
      <c r="C221" s="1"/>
      <c r="D221" s="15"/>
      <c r="E221" s="1"/>
      <c r="F221" s="521"/>
      <c r="G221" s="1"/>
    </row>
    <row r="222" spans="1:7" x14ac:dyDescent="0.25">
      <c r="A222" s="1"/>
      <c r="B222" s="1"/>
      <c r="C222" s="1"/>
      <c r="D222" s="15"/>
      <c r="E222" s="1"/>
      <c r="F222" s="521"/>
      <c r="G222" s="1"/>
    </row>
    <row r="223" spans="1:7" x14ac:dyDescent="0.25">
      <c r="A223" s="1"/>
      <c r="B223" s="1"/>
      <c r="C223" s="1"/>
      <c r="D223" s="15"/>
      <c r="E223" s="1"/>
      <c r="F223" s="521"/>
      <c r="G223" s="1"/>
    </row>
    <row r="224" spans="1:7" x14ac:dyDescent="0.25">
      <c r="A224" s="1"/>
      <c r="B224" s="1"/>
      <c r="C224" s="1"/>
      <c r="D224" s="15"/>
      <c r="E224" s="1"/>
      <c r="F224" s="521"/>
      <c r="G224" s="1"/>
    </row>
    <row r="225" spans="1:7" x14ac:dyDescent="0.25">
      <c r="A225" s="1"/>
      <c r="B225" s="1"/>
      <c r="C225" s="1"/>
      <c r="D225" s="15"/>
      <c r="E225" s="1"/>
      <c r="F225" s="521"/>
      <c r="G225" s="1"/>
    </row>
    <row r="226" spans="1:7" x14ac:dyDescent="0.25">
      <c r="A226" s="1"/>
      <c r="B226" s="1"/>
      <c r="C226" s="1"/>
      <c r="D226" s="15"/>
      <c r="E226" s="1"/>
      <c r="F226" s="521"/>
      <c r="G226" s="1"/>
    </row>
    <row r="227" spans="1:7" x14ac:dyDescent="0.25">
      <c r="A227" s="1"/>
      <c r="B227" s="1"/>
      <c r="C227" s="1"/>
      <c r="D227" s="15"/>
      <c r="E227" s="1"/>
      <c r="F227" s="521"/>
      <c r="G227" s="1"/>
    </row>
    <row r="228" spans="1:7" x14ac:dyDescent="0.25">
      <c r="A228" s="1"/>
      <c r="B228" s="1"/>
      <c r="C228" s="1"/>
      <c r="D228" s="15"/>
      <c r="E228" s="1"/>
      <c r="F228" s="521"/>
      <c r="G228" s="1"/>
    </row>
    <row r="229" spans="1:7" x14ac:dyDescent="0.25">
      <c r="A229" s="1"/>
      <c r="B229" s="1"/>
      <c r="C229" s="1"/>
      <c r="D229" s="15"/>
      <c r="E229" s="1"/>
      <c r="F229" s="521"/>
      <c r="G229" s="1"/>
    </row>
    <row r="230" spans="1:7" x14ac:dyDescent="0.25">
      <c r="A230" s="1"/>
      <c r="B230" s="1"/>
      <c r="C230" s="1"/>
      <c r="D230" s="15"/>
      <c r="E230" s="1"/>
      <c r="F230" s="521"/>
      <c r="G230" s="1"/>
    </row>
    <row r="231" spans="1:7" x14ac:dyDescent="0.25">
      <c r="A231" s="1"/>
      <c r="B231" s="1"/>
      <c r="C231" s="1"/>
      <c r="D231" s="15"/>
      <c r="E231" s="1"/>
      <c r="F231" s="521"/>
      <c r="G231" s="1"/>
    </row>
    <row r="232" spans="1:7" x14ac:dyDescent="0.25">
      <c r="A232" s="1"/>
      <c r="B232" s="1"/>
      <c r="C232" s="1"/>
      <c r="D232" s="15"/>
      <c r="E232" s="1"/>
      <c r="F232" s="521"/>
      <c r="G232" s="1"/>
    </row>
    <row r="233" spans="1:7" x14ac:dyDescent="0.25">
      <c r="A233" s="1"/>
      <c r="B233" s="1"/>
      <c r="C233" s="1"/>
      <c r="D233" s="15"/>
      <c r="E233" s="1"/>
      <c r="F233" s="521"/>
      <c r="G233" s="1"/>
    </row>
    <row r="234" spans="1:7" x14ac:dyDescent="0.25">
      <c r="A234" s="1"/>
      <c r="B234" s="1"/>
      <c r="C234" s="1"/>
      <c r="D234" s="15"/>
      <c r="E234" s="1"/>
      <c r="F234" s="521"/>
      <c r="G234" s="1"/>
    </row>
  </sheetData>
  <autoFilter ref="A2:F100" xr:uid="{5E1CBED7-15FB-4AE4-8C75-A09A2373165E}"/>
  <sortState xmlns:xlrd2="http://schemas.microsoft.com/office/spreadsheetml/2017/richdata2" ref="A3:G151">
    <sortCondition ref="A3:A151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3F00-84C3-4ED2-83EB-0B61BC7AB42E}">
  <sheetPr codeName="Sheet1"/>
  <dimension ref="A1:K26"/>
  <sheetViews>
    <sheetView topLeftCell="A4" workbookViewId="0">
      <selection activeCell="J22" sqref="J22"/>
    </sheetView>
  </sheetViews>
  <sheetFormatPr defaultRowHeight="15" x14ac:dyDescent="0.25"/>
  <cols>
    <col min="1" max="1" width="18.7109375" bestFit="1" customWidth="1"/>
    <col min="2" max="4" width="11.42578125" customWidth="1"/>
    <col min="8" max="8" width="12.7109375" bestFit="1" customWidth="1"/>
    <col min="9" max="9" width="11" customWidth="1"/>
  </cols>
  <sheetData>
    <row r="1" spans="1:10" x14ac:dyDescent="0.25">
      <c r="A1" s="1" t="s">
        <v>18</v>
      </c>
      <c r="B1" s="15">
        <f>SUM(B3:D20)</f>
        <v>126.55500000000006</v>
      </c>
      <c r="C1" s="1"/>
      <c r="D1" s="1"/>
    </row>
    <row r="2" spans="1:10" x14ac:dyDescent="0.25">
      <c r="A2" s="1"/>
      <c r="B2" s="1" t="s">
        <v>607</v>
      </c>
      <c r="C2" s="1" t="s">
        <v>683</v>
      </c>
      <c r="D2" s="1" t="s">
        <v>684</v>
      </c>
    </row>
    <row r="3" spans="1:10" x14ac:dyDescent="0.25">
      <c r="A3" s="1" t="s">
        <v>654</v>
      </c>
      <c r="B3" s="15">
        <v>16.23</v>
      </c>
      <c r="C3" s="15">
        <v>44.36</v>
      </c>
      <c r="D3" s="15"/>
    </row>
    <row r="4" spans="1:10" x14ac:dyDescent="0.25">
      <c r="A4" s="1" t="s">
        <v>394</v>
      </c>
      <c r="B4" s="15">
        <v>601</v>
      </c>
      <c r="C4" s="15"/>
      <c r="D4" s="15"/>
    </row>
    <row r="5" spans="1:10" x14ac:dyDescent="0.25">
      <c r="A5" s="1" t="s">
        <v>394</v>
      </c>
      <c r="B5" s="15">
        <v>268</v>
      </c>
      <c r="C5" s="15"/>
      <c r="D5" s="15"/>
    </row>
    <row r="6" spans="1:10" x14ac:dyDescent="0.25">
      <c r="A6" s="1" t="s">
        <v>42</v>
      </c>
      <c r="B6" s="15">
        <v>-400</v>
      </c>
      <c r="C6" s="15"/>
      <c r="D6" s="15"/>
    </row>
    <row r="7" spans="1:10" x14ac:dyDescent="0.25">
      <c r="A7" s="1" t="s">
        <v>664</v>
      </c>
      <c r="B7" s="15">
        <v>38</v>
      </c>
      <c r="C7" s="15"/>
      <c r="D7" s="15">
        <v>53</v>
      </c>
    </row>
    <row r="8" spans="1:10" x14ac:dyDescent="0.25">
      <c r="A8" s="1" t="s">
        <v>633</v>
      </c>
      <c r="B8" s="15">
        <v>4</v>
      </c>
      <c r="C8" s="15"/>
      <c r="D8" s="15"/>
      <c r="H8" t="s">
        <v>685</v>
      </c>
    </row>
    <row r="9" spans="1:10" x14ac:dyDescent="0.25">
      <c r="A9" s="1" t="s">
        <v>686</v>
      </c>
      <c r="B9" s="15"/>
      <c r="C9" s="15"/>
      <c r="D9" s="15">
        <v>84.47</v>
      </c>
      <c r="H9" t="s">
        <v>687</v>
      </c>
      <c r="J9">
        <v>5500</v>
      </c>
    </row>
    <row r="10" spans="1:10" x14ac:dyDescent="0.25">
      <c r="A10" s="1" t="s">
        <v>688</v>
      </c>
      <c r="B10" s="15"/>
      <c r="C10" s="15">
        <v>20.55</v>
      </c>
      <c r="D10" s="15"/>
      <c r="H10" t="s">
        <v>689</v>
      </c>
      <c r="J10">
        <v>1323.53</v>
      </c>
    </row>
    <row r="11" spans="1:10" x14ac:dyDescent="0.25">
      <c r="A11" s="1" t="s">
        <v>654</v>
      </c>
      <c r="B11" s="15"/>
      <c r="C11" s="15">
        <v>132.07</v>
      </c>
      <c r="D11" s="15"/>
    </row>
    <row r="12" spans="1:10" x14ac:dyDescent="0.25">
      <c r="A12" s="1" t="s">
        <v>690</v>
      </c>
      <c r="B12" s="15"/>
      <c r="C12" s="15">
        <v>32.43</v>
      </c>
      <c r="D12" s="15"/>
      <c r="H12" t="s">
        <v>691</v>
      </c>
      <c r="J12">
        <f>J9-J10</f>
        <v>4176.47</v>
      </c>
    </row>
    <row r="13" spans="1:10" x14ac:dyDescent="0.25">
      <c r="A13" s="1" t="s">
        <v>692</v>
      </c>
      <c r="B13" s="15"/>
      <c r="C13" s="15">
        <f>64.89/2</f>
        <v>32.445</v>
      </c>
      <c r="D13" s="15"/>
      <c r="H13" t="s">
        <v>50</v>
      </c>
      <c r="J13">
        <v>500</v>
      </c>
    </row>
    <row r="14" spans="1:10" x14ac:dyDescent="0.25">
      <c r="A14" s="1"/>
      <c r="B14" s="15"/>
      <c r="C14" s="15"/>
      <c r="D14" s="15"/>
    </row>
    <row r="15" spans="1:10" x14ac:dyDescent="0.25">
      <c r="A15" s="1"/>
      <c r="B15" s="15">
        <v>-500</v>
      </c>
      <c r="C15" s="15">
        <v>-300</v>
      </c>
      <c r="D15" s="15"/>
      <c r="H15" t="s">
        <v>693</v>
      </c>
      <c r="J15">
        <f>J12+J13</f>
        <v>4676.47</v>
      </c>
    </row>
    <row r="16" spans="1:10" x14ac:dyDescent="0.25">
      <c r="A16" s="1"/>
      <c r="B16" s="15"/>
      <c r="C16" s="15"/>
      <c r="D16" s="15"/>
    </row>
    <row r="17" spans="1:11" x14ac:dyDescent="0.25">
      <c r="A17" s="1"/>
      <c r="B17" s="15"/>
      <c r="C17" s="15"/>
      <c r="D17" s="15"/>
      <c r="H17" t="s">
        <v>694</v>
      </c>
      <c r="I17" t="s">
        <v>695</v>
      </c>
      <c r="J17">
        <v>869</v>
      </c>
    </row>
    <row r="18" spans="1:11" x14ac:dyDescent="0.25">
      <c r="A18" s="1"/>
      <c r="B18" s="15"/>
      <c r="C18" s="15"/>
      <c r="D18" s="15"/>
      <c r="H18" t="s">
        <v>696</v>
      </c>
      <c r="I18" s="386">
        <v>43497</v>
      </c>
      <c r="J18">
        <v>84.47</v>
      </c>
    </row>
    <row r="19" spans="1:11" x14ac:dyDescent="0.25">
      <c r="A19" s="1"/>
      <c r="B19" s="15"/>
      <c r="C19" s="15"/>
      <c r="D19" s="15"/>
      <c r="H19" t="s">
        <v>697</v>
      </c>
      <c r="I19" s="386">
        <v>45323</v>
      </c>
      <c r="J19">
        <v>88</v>
      </c>
    </row>
    <row r="20" spans="1:11" x14ac:dyDescent="0.25">
      <c r="A20" s="1"/>
      <c r="B20" s="15"/>
      <c r="C20" s="15"/>
      <c r="D20" s="15"/>
      <c r="H20" t="s">
        <v>698</v>
      </c>
      <c r="J20">
        <v>299.85000000000002</v>
      </c>
      <c r="K20">
        <f>J20/3</f>
        <v>99.95</v>
      </c>
    </row>
    <row r="21" spans="1:11" x14ac:dyDescent="0.25">
      <c r="H21" t="s">
        <v>699</v>
      </c>
      <c r="J21">
        <v>2580</v>
      </c>
    </row>
    <row r="22" spans="1:11" x14ac:dyDescent="0.25">
      <c r="H22" t="s">
        <v>700</v>
      </c>
      <c r="I22" t="s">
        <v>701</v>
      </c>
      <c r="J22">
        <v>0</v>
      </c>
    </row>
    <row r="23" spans="1:11" x14ac:dyDescent="0.25">
      <c r="H23" t="s">
        <v>700</v>
      </c>
      <c r="I23" t="s">
        <v>702</v>
      </c>
      <c r="J23">
        <f>9*100</f>
        <v>900</v>
      </c>
      <c r="K23">
        <f>J23/10</f>
        <v>90</v>
      </c>
    </row>
    <row r="26" spans="1:11" x14ac:dyDescent="0.25">
      <c r="H26" t="s">
        <v>0</v>
      </c>
      <c r="J26">
        <f>J15-SUM(J17:J24)</f>
        <v>-144.84999999999945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C315A-ADF8-431B-A51E-2F0BFC420D97}">
  <dimension ref="A1:M15"/>
  <sheetViews>
    <sheetView workbookViewId="0">
      <selection activeCell="M8" sqref="M7:M8"/>
    </sheetView>
  </sheetViews>
  <sheetFormatPr defaultRowHeight="15" x14ac:dyDescent="0.25"/>
  <cols>
    <col min="1" max="1" width="13.28515625" customWidth="1"/>
    <col min="2" max="2" width="15.28515625" bestFit="1" customWidth="1"/>
    <col min="3" max="3" width="13.7109375" customWidth="1"/>
  </cols>
  <sheetData>
    <row r="1" spans="1:13" ht="15.75" x14ac:dyDescent="0.3">
      <c r="A1" s="503" t="s">
        <v>18</v>
      </c>
      <c r="B1" s="503"/>
      <c r="C1" s="504">
        <f>SUM(C2:C15)</f>
        <v>22577</v>
      </c>
    </row>
    <row r="2" spans="1:13" ht="15.75" x14ac:dyDescent="0.3">
      <c r="A2" s="507" t="s">
        <v>703</v>
      </c>
      <c r="B2" s="507" t="s">
        <v>622</v>
      </c>
      <c r="C2" s="508" t="s">
        <v>209</v>
      </c>
    </row>
    <row r="3" spans="1:13" ht="15.75" x14ac:dyDescent="0.3">
      <c r="A3" s="505" t="s">
        <v>704</v>
      </c>
      <c r="B3" s="505" t="s">
        <v>705</v>
      </c>
      <c r="C3" s="506">
        <v>3234</v>
      </c>
    </row>
    <row r="4" spans="1:13" ht="15.75" x14ac:dyDescent="0.3">
      <c r="A4" s="505" t="s">
        <v>706</v>
      </c>
      <c r="B4" s="505" t="s">
        <v>707</v>
      </c>
      <c r="C4" s="506">
        <v>1951</v>
      </c>
    </row>
    <row r="5" spans="1:13" ht="15.75" x14ac:dyDescent="0.3">
      <c r="A5" s="505" t="s">
        <v>706</v>
      </c>
      <c r="B5" s="505" t="s">
        <v>708</v>
      </c>
      <c r="C5" s="506">
        <v>399</v>
      </c>
    </row>
    <row r="6" spans="1:13" ht="15.75" x14ac:dyDescent="0.3">
      <c r="A6" s="505" t="s">
        <v>709</v>
      </c>
      <c r="B6" s="505" t="s">
        <v>710</v>
      </c>
      <c r="C6" s="506">
        <v>9497</v>
      </c>
    </row>
    <row r="7" spans="1:13" ht="15.75" x14ac:dyDescent="0.3">
      <c r="A7" s="505" t="s">
        <v>711</v>
      </c>
      <c r="B7" s="505" t="s">
        <v>712</v>
      </c>
      <c r="C7" s="506">
        <v>599</v>
      </c>
      <c r="M7">
        <v>500000</v>
      </c>
    </row>
    <row r="8" spans="1:13" ht="15.75" x14ac:dyDescent="0.3">
      <c r="A8" s="505" t="s">
        <v>713</v>
      </c>
      <c r="B8" s="505" t="s">
        <v>707</v>
      </c>
      <c r="C8" s="506">
        <v>2600</v>
      </c>
      <c r="M8">
        <v>-478500</v>
      </c>
    </row>
    <row r="9" spans="1:13" ht="15.75" x14ac:dyDescent="0.3">
      <c r="A9" s="505" t="s">
        <v>714</v>
      </c>
      <c r="B9" s="505" t="s">
        <v>715</v>
      </c>
      <c r="C9" s="506">
        <v>4297</v>
      </c>
    </row>
    <row r="10" spans="1:13" ht="15.75" x14ac:dyDescent="0.3">
      <c r="A10" s="505"/>
      <c r="B10" s="505"/>
      <c r="C10" s="506"/>
    </row>
    <row r="11" spans="1:13" ht="15.75" x14ac:dyDescent="0.3">
      <c r="A11" s="505"/>
      <c r="B11" s="505"/>
      <c r="C11" s="506"/>
    </row>
    <row r="12" spans="1:13" ht="15.75" x14ac:dyDescent="0.3">
      <c r="A12" s="505"/>
      <c r="B12" s="505"/>
      <c r="C12" s="506"/>
    </row>
    <row r="13" spans="1:13" ht="15.75" x14ac:dyDescent="0.3">
      <c r="A13" s="505"/>
      <c r="B13" s="505"/>
      <c r="C13" s="506"/>
    </row>
    <row r="14" spans="1:13" ht="15.75" x14ac:dyDescent="0.3">
      <c r="A14" s="505"/>
      <c r="B14" s="505"/>
      <c r="C14" s="506"/>
    </row>
    <row r="15" spans="1:13" ht="15.75" x14ac:dyDescent="0.3">
      <c r="A15" s="505"/>
      <c r="B15" s="505"/>
      <c r="C15" s="50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7B5AA-09B2-4080-B556-1701E2C33DA7}">
  <sheetPr codeName="Sheet2"/>
  <dimension ref="A1:I35"/>
  <sheetViews>
    <sheetView zoomScale="85" zoomScaleNormal="85" workbookViewId="0">
      <selection activeCell="G15" sqref="G15"/>
    </sheetView>
  </sheetViews>
  <sheetFormatPr defaultRowHeight="15" x14ac:dyDescent="0.25"/>
  <cols>
    <col min="1" max="1" width="15.42578125" bestFit="1" customWidth="1"/>
    <col min="2" max="3" width="10.42578125" bestFit="1" customWidth="1"/>
    <col min="5" max="5" width="20.5703125" bestFit="1" customWidth="1"/>
    <col min="6" max="6" width="6.28515625" bestFit="1" customWidth="1"/>
    <col min="7" max="7" width="9.85546875" bestFit="1" customWidth="1"/>
    <col min="8" max="8" width="4.42578125" bestFit="1" customWidth="1"/>
    <col min="9" max="9" width="9.85546875" bestFit="1" customWidth="1"/>
  </cols>
  <sheetData>
    <row r="1" spans="1:9" x14ac:dyDescent="0.25">
      <c r="A1" s="1"/>
      <c r="B1" s="1" t="s">
        <v>184</v>
      </c>
      <c r="C1" s="1" t="s">
        <v>185</v>
      </c>
    </row>
    <row r="2" spans="1:9" x14ac:dyDescent="0.25">
      <c r="A2" s="1" t="s">
        <v>186</v>
      </c>
      <c r="B2" s="15">
        <v>2390304</v>
      </c>
      <c r="C2" s="15">
        <v>2390304</v>
      </c>
      <c r="F2" t="s">
        <v>187</v>
      </c>
      <c r="H2" t="s">
        <v>188</v>
      </c>
    </row>
    <row r="3" spans="1:9" x14ac:dyDescent="0.25">
      <c r="A3" s="1" t="s">
        <v>189</v>
      </c>
      <c r="B3" s="15">
        <v>-150000</v>
      </c>
      <c r="C3" s="15"/>
      <c r="E3" s="200" t="s">
        <v>190</v>
      </c>
      <c r="F3" s="1">
        <v>0</v>
      </c>
      <c r="G3" s="120">
        <v>0</v>
      </c>
      <c r="H3" s="1">
        <v>0</v>
      </c>
      <c r="I3" s="120">
        <v>0</v>
      </c>
    </row>
    <row r="4" spans="1:9" x14ac:dyDescent="0.25">
      <c r="A4" s="1" t="s">
        <v>191</v>
      </c>
      <c r="B4" s="15">
        <v>-25000</v>
      </c>
      <c r="C4" s="15">
        <v>0</v>
      </c>
      <c r="E4" s="200" t="s">
        <v>192</v>
      </c>
      <c r="F4" s="1">
        <v>5</v>
      </c>
      <c r="G4" s="120">
        <v>12500</v>
      </c>
      <c r="H4" s="1">
        <v>5</v>
      </c>
      <c r="I4" s="120">
        <v>12500</v>
      </c>
    </row>
    <row r="5" spans="1:9" x14ac:dyDescent="0.25">
      <c r="A5" s="1" t="s">
        <v>193</v>
      </c>
      <c r="B5" s="15">
        <v>-50000</v>
      </c>
      <c r="C5" s="15">
        <v>0</v>
      </c>
      <c r="E5" s="200" t="s">
        <v>194</v>
      </c>
      <c r="F5" s="1">
        <v>20</v>
      </c>
      <c r="G5" s="120">
        <v>50000</v>
      </c>
      <c r="H5" s="1">
        <v>10</v>
      </c>
      <c r="I5" s="120">
        <v>25000</v>
      </c>
    </row>
    <row r="6" spans="1:9" x14ac:dyDescent="0.25">
      <c r="A6" s="1" t="s">
        <v>195</v>
      </c>
      <c r="B6" s="15">
        <v>-24000</v>
      </c>
      <c r="C6" s="15">
        <v>0</v>
      </c>
      <c r="E6" s="200" t="s">
        <v>196</v>
      </c>
      <c r="F6" s="1">
        <v>20</v>
      </c>
      <c r="G6" s="120">
        <v>50000</v>
      </c>
      <c r="H6" s="1">
        <v>15</v>
      </c>
      <c r="I6" s="120">
        <v>37500</v>
      </c>
    </row>
    <row r="7" spans="1:9" x14ac:dyDescent="0.25">
      <c r="A7" s="1" t="s">
        <v>197</v>
      </c>
      <c r="B7" s="15">
        <v>-300000</v>
      </c>
      <c r="C7" s="15">
        <v>0</v>
      </c>
      <c r="E7" s="200" t="s">
        <v>198</v>
      </c>
      <c r="F7" s="1">
        <v>30</v>
      </c>
      <c r="G7" s="120">
        <v>75000</v>
      </c>
      <c r="H7" s="1">
        <v>20</v>
      </c>
      <c r="I7" s="120">
        <v>50000</v>
      </c>
    </row>
    <row r="8" spans="1:9" x14ac:dyDescent="0.25">
      <c r="A8" s="1" t="s">
        <v>199</v>
      </c>
      <c r="B8" s="15">
        <v>-12000</v>
      </c>
      <c r="C8" s="15">
        <v>-12000</v>
      </c>
      <c r="E8" s="200" t="s">
        <v>200</v>
      </c>
      <c r="F8" s="1">
        <v>30</v>
      </c>
      <c r="G8" s="120">
        <v>75000</v>
      </c>
      <c r="H8" s="1">
        <v>25</v>
      </c>
      <c r="I8" s="120">
        <v>62500</v>
      </c>
    </row>
    <row r="9" spans="1:9" x14ac:dyDescent="0.25">
      <c r="A9" s="1" t="s">
        <v>201</v>
      </c>
      <c r="B9" s="15">
        <v>-28800</v>
      </c>
      <c r="C9" s="15">
        <v>-28800</v>
      </c>
      <c r="E9" s="200" t="s">
        <v>202</v>
      </c>
      <c r="F9" s="1">
        <v>30</v>
      </c>
      <c r="G9" s="120">
        <v>63631.199999999997</v>
      </c>
      <c r="H9" s="1">
        <v>30</v>
      </c>
      <c r="I9" s="120">
        <v>255000</v>
      </c>
    </row>
    <row r="10" spans="1:9" x14ac:dyDescent="0.25">
      <c r="A10" s="1" t="s">
        <v>203</v>
      </c>
      <c r="B10" s="15">
        <v>-2400</v>
      </c>
      <c r="C10" s="15">
        <v>0</v>
      </c>
      <c r="E10" s="200"/>
      <c r="F10" s="1"/>
      <c r="G10" s="120"/>
      <c r="H10" s="1"/>
      <c r="I10" s="120"/>
    </row>
    <row r="11" spans="1:9" x14ac:dyDescent="0.25">
      <c r="A11" s="1" t="s">
        <v>204</v>
      </c>
      <c r="B11" s="15">
        <v>-50000</v>
      </c>
      <c r="C11" s="15">
        <v>0</v>
      </c>
      <c r="E11" s="200"/>
      <c r="F11" s="1"/>
      <c r="G11" s="120"/>
      <c r="H11" s="1"/>
      <c r="I11" s="120"/>
    </row>
    <row r="12" spans="1:9" x14ac:dyDescent="0.25">
      <c r="A12" s="1" t="s">
        <v>205</v>
      </c>
      <c r="B12" s="15">
        <v>-36000</v>
      </c>
      <c r="C12" s="15">
        <v>0</v>
      </c>
      <c r="E12" s="200"/>
      <c r="F12" s="1"/>
      <c r="G12" s="120"/>
      <c r="H12" s="1"/>
      <c r="I12" s="120"/>
    </row>
    <row r="13" spans="1:9" x14ac:dyDescent="0.25">
      <c r="A13" s="1"/>
      <c r="B13" s="15"/>
      <c r="C13" s="15"/>
      <c r="E13" s="200"/>
      <c r="F13" s="1"/>
      <c r="G13" s="120"/>
      <c r="H13" s="1"/>
      <c r="I13" s="120"/>
    </row>
    <row r="14" spans="1:9" x14ac:dyDescent="0.25">
      <c r="A14" s="1"/>
      <c r="B14" s="15"/>
      <c r="C14" s="15"/>
      <c r="G14" s="119"/>
      <c r="I14" s="119"/>
    </row>
    <row r="15" spans="1:9" x14ac:dyDescent="0.25">
      <c r="A15" s="1"/>
      <c r="B15" s="15"/>
      <c r="C15" s="15"/>
      <c r="E15" t="s">
        <v>206</v>
      </c>
      <c r="G15" s="119">
        <f>SUM(G3:G14)</f>
        <v>326131.20000000001</v>
      </c>
      <c r="I15" s="119">
        <f>SUM(I3:I14)</f>
        <v>442500</v>
      </c>
    </row>
    <row r="16" spans="1:9" x14ac:dyDescent="0.25">
      <c r="A16" s="1" t="s">
        <v>207</v>
      </c>
      <c r="B16" s="15">
        <f>SUM(B2:B15)</f>
        <v>1712104</v>
      </c>
      <c r="C16" s="15">
        <f>SUM(C2:C15)</f>
        <v>2349504</v>
      </c>
    </row>
    <row r="17" spans="1:3" x14ac:dyDescent="0.25">
      <c r="A17" s="1"/>
      <c r="B17" s="15"/>
      <c r="C17" s="15"/>
    </row>
    <row r="18" spans="1:3" x14ac:dyDescent="0.25">
      <c r="A18" s="1"/>
      <c r="B18" s="15"/>
      <c r="C18" s="15"/>
    </row>
    <row r="19" spans="1:3" x14ac:dyDescent="0.25">
      <c r="A19" s="1"/>
      <c r="B19" s="15"/>
      <c r="C19" s="15"/>
    </row>
    <row r="20" spans="1:3" x14ac:dyDescent="0.25">
      <c r="A20" s="1"/>
      <c r="B20" s="15"/>
      <c r="C20" s="15"/>
    </row>
    <row r="21" spans="1:3" x14ac:dyDescent="0.25">
      <c r="A21" s="1"/>
      <c r="B21" s="15"/>
      <c r="C21" s="15"/>
    </row>
    <row r="22" spans="1:3" x14ac:dyDescent="0.25">
      <c r="A22" s="1"/>
      <c r="B22" s="15"/>
      <c r="C22" s="15"/>
    </row>
    <row r="23" spans="1:3" x14ac:dyDescent="0.25">
      <c r="A23" s="1"/>
      <c r="B23" s="15"/>
      <c r="C23" s="15"/>
    </row>
    <row r="24" spans="1:3" x14ac:dyDescent="0.25">
      <c r="A24" s="1"/>
      <c r="B24" s="15"/>
      <c r="C24" s="15"/>
    </row>
    <row r="25" spans="1:3" x14ac:dyDescent="0.25">
      <c r="A25" s="1"/>
      <c r="B25" s="15"/>
      <c r="C25" s="15"/>
    </row>
    <row r="26" spans="1:3" x14ac:dyDescent="0.25">
      <c r="A26" s="1"/>
      <c r="B26" s="15"/>
      <c r="C26" s="15"/>
    </row>
    <row r="27" spans="1:3" x14ac:dyDescent="0.25">
      <c r="A27" s="1"/>
      <c r="B27" s="15"/>
      <c r="C27" s="15"/>
    </row>
    <row r="28" spans="1:3" x14ac:dyDescent="0.25">
      <c r="A28" s="1"/>
      <c r="B28" s="15"/>
      <c r="C28" s="15"/>
    </row>
    <row r="29" spans="1:3" x14ac:dyDescent="0.25">
      <c r="A29" s="1"/>
      <c r="B29" s="15"/>
      <c r="C29" s="15"/>
    </row>
    <row r="30" spans="1:3" x14ac:dyDescent="0.25">
      <c r="A30" s="1"/>
      <c r="B30" s="15"/>
      <c r="C30" s="15"/>
    </row>
    <row r="31" spans="1:3" x14ac:dyDescent="0.25">
      <c r="A31" s="1"/>
      <c r="B31" s="15"/>
      <c r="C31" s="15"/>
    </row>
    <row r="32" spans="1:3" x14ac:dyDescent="0.25">
      <c r="A32" s="1"/>
      <c r="B32" s="15"/>
      <c r="C32" s="15"/>
    </row>
    <row r="33" spans="1:3" x14ac:dyDescent="0.25">
      <c r="A33" s="1"/>
      <c r="B33" s="15"/>
      <c r="C33" s="15"/>
    </row>
    <row r="34" spans="1:3" x14ac:dyDescent="0.25">
      <c r="A34" s="1"/>
      <c r="B34" s="15"/>
      <c r="C34" s="15"/>
    </row>
    <row r="35" spans="1:3" x14ac:dyDescent="0.25">
      <c r="A35" s="1"/>
      <c r="B35" s="15"/>
      <c r="C35" s="15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254D-4AD8-4FBC-A7AC-9A8333B90455}">
  <dimension ref="A1:O39"/>
  <sheetViews>
    <sheetView zoomScaleNormal="100" workbookViewId="0">
      <selection activeCell="M25" sqref="M25"/>
    </sheetView>
  </sheetViews>
  <sheetFormatPr defaultRowHeight="15" x14ac:dyDescent="0.25"/>
  <cols>
    <col min="1" max="1" width="21" bestFit="1" customWidth="1"/>
    <col min="2" max="2" width="12.7109375" bestFit="1" customWidth="1"/>
    <col min="3" max="3" width="8" bestFit="1" customWidth="1"/>
    <col min="4" max="4" width="16" bestFit="1" customWidth="1"/>
    <col min="6" max="6" width="30.85546875" bestFit="1" customWidth="1"/>
    <col min="7" max="7" width="7.85546875" bestFit="1" customWidth="1"/>
    <col min="8" max="8" width="17.28515625" customWidth="1"/>
    <col min="10" max="10" width="6.5703125" customWidth="1"/>
    <col min="11" max="11" width="4.7109375" bestFit="1" customWidth="1"/>
    <col min="12" max="15" width="9.5703125" bestFit="1" customWidth="1"/>
  </cols>
  <sheetData>
    <row r="1" spans="1:15" x14ac:dyDescent="0.25">
      <c r="L1" s="643" t="s">
        <v>4</v>
      </c>
      <c r="M1" s="643"/>
      <c r="N1" s="643" t="s">
        <v>716</v>
      </c>
      <c r="O1" s="643"/>
    </row>
    <row r="2" spans="1:15" x14ac:dyDescent="0.25">
      <c r="A2" s="1" t="s">
        <v>717</v>
      </c>
      <c r="B2" s="1" t="s">
        <v>718</v>
      </c>
      <c r="C2" s="1" t="s">
        <v>272</v>
      </c>
      <c r="D2" s="1" t="s">
        <v>719</v>
      </c>
      <c r="F2" s="17" t="s">
        <v>18</v>
      </c>
      <c r="G2" s="17" t="s">
        <v>624</v>
      </c>
      <c r="H2" s="36">
        <f>SUM(H3:H15)</f>
        <v>869148.95000000019</v>
      </c>
      <c r="J2" s="1"/>
      <c r="K2" s="1"/>
      <c r="L2" s="1" t="s">
        <v>720</v>
      </c>
      <c r="M2" s="1" t="s">
        <v>721</v>
      </c>
      <c r="N2" s="1" t="s">
        <v>722</v>
      </c>
      <c r="O2" s="1" t="s">
        <v>723</v>
      </c>
    </row>
    <row r="3" spans="1:15" x14ac:dyDescent="0.25">
      <c r="A3" s="1" t="s">
        <v>501</v>
      </c>
      <c r="B3" s="15">
        <v>499882</v>
      </c>
      <c r="C3" s="15">
        <v>850</v>
      </c>
      <c r="D3" s="1">
        <f>B3*8.6/1200</f>
        <v>3582.4876666666669</v>
      </c>
      <c r="F3" s="1" t="s">
        <v>724</v>
      </c>
      <c r="G3" s="1" t="s">
        <v>725</v>
      </c>
      <c r="H3" s="15">
        <v>1190000</v>
      </c>
      <c r="J3" s="644">
        <v>2023</v>
      </c>
      <c r="K3" s="1" t="s">
        <v>562</v>
      </c>
      <c r="L3" s="15">
        <v>500000</v>
      </c>
      <c r="M3" s="15">
        <v>688000</v>
      </c>
      <c r="N3" s="15">
        <v>962000</v>
      </c>
      <c r="O3" s="15">
        <v>500000</v>
      </c>
    </row>
    <row r="4" spans="1:15" x14ac:dyDescent="0.25">
      <c r="A4" s="1" t="s">
        <v>501</v>
      </c>
      <c r="B4" s="15">
        <v>688000</v>
      </c>
      <c r="C4" s="15">
        <v>850</v>
      </c>
      <c r="D4" s="1">
        <f t="shared" ref="D4:D7" si="0">B4*8.6/1200</f>
        <v>4930.666666666667</v>
      </c>
      <c r="F4" s="1" t="s">
        <v>726</v>
      </c>
      <c r="G4" s="1" t="s">
        <v>727</v>
      </c>
      <c r="H4" s="15">
        <v>450000</v>
      </c>
      <c r="J4" s="644"/>
      <c r="K4" s="1" t="s">
        <v>563</v>
      </c>
      <c r="L4" s="15">
        <v>492180</v>
      </c>
      <c r="M4" s="15">
        <v>681907</v>
      </c>
      <c r="N4" s="15"/>
      <c r="O4" s="15"/>
    </row>
    <row r="5" spans="1:15" x14ac:dyDescent="0.25">
      <c r="A5" s="1" t="s">
        <v>728</v>
      </c>
      <c r="B5" s="15">
        <v>499882</v>
      </c>
      <c r="C5" s="15">
        <v>850</v>
      </c>
      <c r="D5" s="1">
        <f t="shared" si="0"/>
        <v>3582.4876666666669</v>
      </c>
      <c r="F5" s="1" t="s">
        <v>729</v>
      </c>
      <c r="G5" s="1" t="s">
        <v>727</v>
      </c>
      <c r="H5" s="15">
        <v>550000</v>
      </c>
      <c r="J5" s="644"/>
      <c r="K5" s="1" t="s">
        <v>564</v>
      </c>
      <c r="L5" s="15">
        <v>485180</v>
      </c>
      <c r="M5" s="15">
        <v>679928</v>
      </c>
      <c r="N5" s="15"/>
      <c r="O5" s="15"/>
    </row>
    <row r="6" spans="1:15" x14ac:dyDescent="0.25">
      <c r="A6" s="1" t="s">
        <v>728</v>
      </c>
      <c r="B6" s="15">
        <v>962000</v>
      </c>
      <c r="C6" s="15">
        <v>850</v>
      </c>
      <c r="D6" s="1">
        <f t="shared" si="0"/>
        <v>6894.333333333333</v>
      </c>
      <c r="F6" s="1" t="s">
        <v>730</v>
      </c>
      <c r="G6" s="1" t="s">
        <v>731</v>
      </c>
      <c r="H6" s="15">
        <v>970000</v>
      </c>
      <c r="J6" s="644"/>
      <c r="K6" s="1" t="s">
        <v>565</v>
      </c>
      <c r="L6" s="15">
        <v>474180</v>
      </c>
      <c r="M6" s="15">
        <v>679754</v>
      </c>
      <c r="N6" s="15"/>
      <c r="O6" s="15"/>
    </row>
    <row r="7" spans="1:15" x14ac:dyDescent="0.25">
      <c r="A7" s="1" t="s">
        <v>732</v>
      </c>
      <c r="B7" s="15">
        <v>970000</v>
      </c>
      <c r="C7" s="15">
        <v>850</v>
      </c>
      <c r="D7" s="1">
        <f t="shared" si="0"/>
        <v>6951.666666666667</v>
      </c>
      <c r="F7" s="1" t="s">
        <v>733</v>
      </c>
      <c r="G7" s="1" t="s">
        <v>731</v>
      </c>
      <c r="H7" s="15">
        <v>1440000</v>
      </c>
      <c r="J7" s="644"/>
      <c r="K7" s="1" t="s">
        <v>566</v>
      </c>
      <c r="L7" s="15">
        <v>474180</v>
      </c>
      <c r="M7" s="15">
        <v>568530</v>
      </c>
      <c r="N7" s="15"/>
      <c r="O7" s="15"/>
    </row>
    <row r="8" spans="1:15" x14ac:dyDescent="0.25">
      <c r="A8" s="1"/>
      <c r="B8" s="15"/>
      <c r="C8" s="15"/>
      <c r="D8" s="192">
        <f>SUM(D3:D7)</f>
        <v>25941.642</v>
      </c>
      <c r="F8" s="1" t="s">
        <v>734</v>
      </c>
      <c r="G8" s="1" t="s">
        <v>731</v>
      </c>
      <c r="H8" s="15">
        <v>240080</v>
      </c>
      <c r="J8" s="644"/>
      <c r="K8" s="1" t="s">
        <v>567</v>
      </c>
      <c r="L8" s="15">
        <v>469180</v>
      </c>
      <c r="M8" s="15">
        <v>567025</v>
      </c>
      <c r="N8" s="15"/>
      <c r="O8" s="15"/>
    </row>
    <row r="9" spans="1:15" x14ac:dyDescent="0.25">
      <c r="A9" s="1" t="s">
        <v>18</v>
      </c>
      <c r="B9" s="15">
        <f>SUM(B3:B8)-SUM(C3:C7)</f>
        <v>3615514</v>
      </c>
      <c r="C9" s="15"/>
      <c r="F9" s="1"/>
      <c r="G9" s="1"/>
      <c r="H9" s="15"/>
      <c r="J9" s="644"/>
      <c r="K9" s="1" t="s">
        <v>568</v>
      </c>
      <c r="L9" s="15">
        <v>479655</v>
      </c>
      <c r="M9" s="15">
        <v>566124.65</v>
      </c>
      <c r="N9" s="15"/>
      <c r="O9" s="15"/>
    </row>
    <row r="10" spans="1:15" x14ac:dyDescent="0.25">
      <c r="B10" s="117">
        <v>-2920931.05</v>
      </c>
      <c r="F10" s="1" t="s">
        <v>735</v>
      </c>
      <c r="G10" s="1"/>
      <c r="H10" s="15">
        <v>-2920931.05</v>
      </c>
      <c r="J10" s="644"/>
      <c r="K10" s="1" t="s">
        <v>569</v>
      </c>
      <c r="L10" s="15">
        <v>478790</v>
      </c>
      <c r="M10" s="15">
        <v>564452.65</v>
      </c>
      <c r="N10" s="15">
        <v>953620</v>
      </c>
      <c r="O10" s="15">
        <v>415054</v>
      </c>
    </row>
    <row r="11" spans="1:15" x14ac:dyDescent="0.25">
      <c r="B11" s="117">
        <v>-50000</v>
      </c>
      <c r="F11" s="1" t="s">
        <v>736</v>
      </c>
      <c r="G11" s="1"/>
      <c r="H11" s="15">
        <v>-1000000</v>
      </c>
      <c r="J11" s="644"/>
      <c r="K11" s="1" t="s">
        <v>570</v>
      </c>
      <c r="L11" s="15">
        <v>-478500</v>
      </c>
      <c r="M11" s="15">
        <v>-71500</v>
      </c>
      <c r="N11" s="15"/>
      <c r="O11" s="15"/>
    </row>
    <row r="12" spans="1:15" x14ac:dyDescent="0.25">
      <c r="F12" s="1" t="s">
        <v>737</v>
      </c>
      <c r="G12" s="1"/>
      <c r="H12" s="15">
        <v>0</v>
      </c>
      <c r="J12" s="644"/>
      <c r="K12" s="1" t="s">
        <v>571</v>
      </c>
      <c r="L12" s="15"/>
      <c r="M12" s="15"/>
      <c r="N12" s="15"/>
      <c r="O12" s="15"/>
    </row>
    <row r="13" spans="1:15" x14ac:dyDescent="0.25">
      <c r="F13" s="1" t="s">
        <v>738</v>
      </c>
      <c r="G13" s="1"/>
      <c r="H13" s="15">
        <v>-50000</v>
      </c>
      <c r="J13" s="644"/>
      <c r="K13" s="1" t="s">
        <v>560</v>
      </c>
      <c r="L13" s="15"/>
      <c r="M13" s="15"/>
      <c r="N13" s="15"/>
      <c r="O13" s="15"/>
    </row>
    <row r="14" spans="1:15" x14ac:dyDescent="0.25">
      <c r="F14" s="1"/>
      <c r="G14" s="1"/>
      <c r="H14" s="15"/>
      <c r="J14" s="644">
        <v>2024</v>
      </c>
      <c r="K14" s="1" t="s">
        <v>561</v>
      </c>
      <c r="L14" s="15"/>
      <c r="M14" s="15"/>
      <c r="N14" s="15"/>
      <c r="O14" s="15"/>
    </row>
    <row r="15" spans="1:15" x14ac:dyDescent="0.25">
      <c r="F15" s="1"/>
      <c r="G15" s="1"/>
      <c r="H15" s="15"/>
      <c r="J15" s="644"/>
      <c r="K15" s="1" t="s">
        <v>562</v>
      </c>
      <c r="L15" s="15"/>
      <c r="M15" s="15"/>
      <c r="N15" s="15"/>
      <c r="O15" s="15"/>
    </row>
    <row r="16" spans="1:15" x14ac:dyDescent="0.25">
      <c r="H16" s="11"/>
      <c r="J16" s="644"/>
      <c r="K16" s="1" t="s">
        <v>563</v>
      </c>
      <c r="L16" s="15"/>
      <c r="M16" s="15"/>
      <c r="N16" s="15"/>
      <c r="O16" s="15"/>
    </row>
    <row r="17" spans="8:15" x14ac:dyDescent="0.25">
      <c r="H17" s="11"/>
      <c r="J17" s="644"/>
      <c r="K17" s="1" t="s">
        <v>564</v>
      </c>
      <c r="L17" s="15"/>
      <c r="M17" s="15"/>
      <c r="N17" s="15"/>
      <c r="O17" s="15"/>
    </row>
    <row r="18" spans="8:15" x14ac:dyDescent="0.25">
      <c r="H18" s="11"/>
      <c r="J18" s="644"/>
      <c r="K18" s="1" t="s">
        <v>565</v>
      </c>
      <c r="L18" s="15"/>
      <c r="M18" s="15"/>
      <c r="N18" s="15"/>
      <c r="O18" s="15"/>
    </row>
    <row r="19" spans="8:15" x14ac:dyDescent="0.25">
      <c r="J19" s="644"/>
      <c r="K19" s="1" t="s">
        <v>566</v>
      </c>
      <c r="L19" s="15"/>
      <c r="M19" s="15"/>
      <c r="N19" s="15"/>
      <c r="O19" s="15"/>
    </row>
    <row r="20" spans="8:15" x14ac:dyDescent="0.25">
      <c r="J20" s="644"/>
      <c r="K20" s="1" t="s">
        <v>567</v>
      </c>
      <c r="L20" s="15"/>
      <c r="M20" s="15"/>
      <c r="N20" s="15"/>
      <c r="O20" s="15"/>
    </row>
    <row r="21" spans="8:15" x14ac:dyDescent="0.25">
      <c r="J21" s="644"/>
      <c r="K21" s="1" t="s">
        <v>568</v>
      </c>
      <c r="L21" s="15"/>
      <c r="M21" s="15"/>
      <c r="N21" s="15"/>
      <c r="O21" s="15"/>
    </row>
    <row r="22" spans="8:15" x14ac:dyDescent="0.25">
      <c r="J22" s="644"/>
      <c r="K22" s="1" t="s">
        <v>569</v>
      </c>
      <c r="L22" s="15"/>
      <c r="M22" s="15"/>
      <c r="N22" s="15"/>
      <c r="O22" s="15"/>
    </row>
    <row r="23" spans="8:15" x14ac:dyDescent="0.25">
      <c r="J23" s="644"/>
      <c r="K23" s="1" t="s">
        <v>570</v>
      </c>
      <c r="L23" s="15"/>
      <c r="M23" s="15"/>
      <c r="N23" s="15"/>
      <c r="O23" s="15"/>
    </row>
    <row r="24" spans="8:15" x14ac:dyDescent="0.25">
      <c r="J24" s="644"/>
      <c r="K24" s="1" t="s">
        <v>571</v>
      </c>
      <c r="L24" s="15"/>
      <c r="M24" s="15"/>
      <c r="N24" s="15"/>
      <c r="O24" s="15"/>
    </row>
    <row r="25" spans="8:15" x14ac:dyDescent="0.25">
      <c r="J25" s="644"/>
      <c r="K25" s="1" t="s">
        <v>560</v>
      </c>
      <c r="L25" s="15"/>
      <c r="M25" s="15"/>
      <c r="N25" s="15"/>
      <c r="O25" s="15"/>
    </row>
    <row r="26" spans="8:15" x14ac:dyDescent="0.25">
      <c r="J26" s="644">
        <v>2025</v>
      </c>
      <c r="K26" s="1" t="s">
        <v>561</v>
      </c>
      <c r="L26" s="15"/>
      <c r="M26" s="15"/>
      <c r="N26" s="15"/>
      <c r="O26" s="15"/>
    </row>
    <row r="27" spans="8:15" x14ac:dyDescent="0.25">
      <c r="J27" s="644"/>
      <c r="K27" s="1" t="s">
        <v>562</v>
      </c>
      <c r="L27" s="15"/>
      <c r="M27" s="15"/>
      <c r="N27" s="15"/>
      <c r="O27" s="15"/>
    </row>
    <row r="28" spans="8:15" x14ac:dyDescent="0.25">
      <c r="J28" s="644"/>
      <c r="K28" s="1" t="s">
        <v>563</v>
      </c>
      <c r="L28" s="15"/>
      <c r="M28" s="15"/>
      <c r="N28" s="15"/>
      <c r="O28" s="15"/>
    </row>
    <row r="29" spans="8:15" x14ac:dyDescent="0.25">
      <c r="J29" s="644"/>
      <c r="K29" s="1" t="s">
        <v>564</v>
      </c>
      <c r="L29" s="15"/>
      <c r="M29" s="15"/>
      <c r="N29" s="15"/>
      <c r="O29" s="15"/>
    </row>
    <row r="30" spans="8:15" x14ac:dyDescent="0.25">
      <c r="J30" s="644"/>
      <c r="K30" s="1" t="s">
        <v>565</v>
      </c>
      <c r="L30" s="15"/>
      <c r="M30" s="15"/>
      <c r="N30" s="15"/>
      <c r="O30" s="15"/>
    </row>
    <row r="31" spans="8:15" x14ac:dyDescent="0.25">
      <c r="J31" s="644"/>
      <c r="K31" s="1" t="s">
        <v>566</v>
      </c>
      <c r="L31" s="15"/>
      <c r="M31" s="15"/>
      <c r="N31" s="15"/>
      <c r="O31" s="15"/>
    </row>
    <row r="32" spans="8:15" x14ac:dyDescent="0.25">
      <c r="J32" s="644"/>
      <c r="K32" s="1" t="s">
        <v>567</v>
      </c>
      <c r="L32" s="15"/>
      <c r="M32" s="15"/>
      <c r="N32" s="15"/>
      <c r="O32" s="15"/>
    </row>
    <row r="33" spans="10:15" x14ac:dyDescent="0.25">
      <c r="J33" s="644"/>
      <c r="K33" s="1" t="s">
        <v>568</v>
      </c>
      <c r="L33" s="15"/>
      <c r="M33" s="15"/>
      <c r="N33" s="15"/>
      <c r="O33" s="15"/>
    </row>
    <row r="34" spans="10:15" x14ac:dyDescent="0.25">
      <c r="J34" s="644"/>
      <c r="K34" s="1" t="s">
        <v>569</v>
      </c>
      <c r="L34" s="15"/>
      <c r="M34" s="15"/>
      <c r="N34" s="15"/>
      <c r="O34" s="15"/>
    </row>
    <row r="35" spans="10:15" x14ac:dyDescent="0.25">
      <c r="J35" s="644"/>
      <c r="K35" s="1" t="s">
        <v>570</v>
      </c>
      <c r="L35" s="15"/>
      <c r="M35" s="15"/>
      <c r="N35" s="15"/>
      <c r="O35" s="15"/>
    </row>
    <row r="36" spans="10:15" x14ac:dyDescent="0.25">
      <c r="J36" s="644"/>
      <c r="K36" s="1" t="s">
        <v>571</v>
      </c>
      <c r="L36" s="15"/>
      <c r="M36" s="15"/>
      <c r="N36" s="15"/>
      <c r="O36" s="15"/>
    </row>
    <row r="37" spans="10:15" x14ac:dyDescent="0.25">
      <c r="J37" s="644"/>
      <c r="K37" s="1" t="s">
        <v>560</v>
      </c>
      <c r="L37" s="15"/>
      <c r="M37" s="15"/>
      <c r="N37" s="15"/>
      <c r="O37" s="15"/>
    </row>
    <row r="39" spans="10:15" x14ac:dyDescent="0.25">
      <c r="J39" s="642" t="s">
        <v>0</v>
      </c>
      <c r="K39" s="642"/>
      <c r="L39" s="11">
        <f>L10+L11</f>
        <v>290</v>
      </c>
      <c r="M39" s="11">
        <f>M10+M11</f>
        <v>492952.65</v>
      </c>
    </row>
  </sheetData>
  <mergeCells count="6">
    <mergeCell ref="J39:K39"/>
    <mergeCell ref="N1:O1"/>
    <mergeCell ref="J3:J13"/>
    <mergeCell ref="J14:J25"/>
    <mergeCell ref="J26:J37"/>
    <mergeCell ref="L1:M1"/>
  </mergeCells>
  <phoneticPr fontId="5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4AEC-B750-4835-A32F-850F2DAE744E}">
  <dimension ref="A1:N169"/>
  <sheetViews>
    <sheetView workbookViewId="0">
      <selection activeCell="D109" sqref="D109"/>
    </sheetView>
  </sheetViews>
  <sheetFormatPr defaultRowHeight="15" x14ac:dyDescent="0.25"/>
  <cols>
    <col min="1" max="1" width="10.140625" bestFit="1" customWidth="1"/>
    <col min="2" max="5" width="11.7109375" customWidth="1"/>
    <col min="6" max="6" width="15.7109375" bestFit="1" customWidth="1"/>
  </cols>
  <sheetData>
    <row r="1" spans="1:14" x14ac:dyDescent="0.25">
      <c r="A1" s="643" t="s">
        <v>739</v>
      </c>
      <c r="B1" s="643"/>
      <c r="C1" s="11">
        <v>9.3000000000000007</v>
      </c>
    </row>
    <row r="2" spans="1:14" x14ac:dyDescent="0.25">
      <c r="A2" s="17" t="s">
        <v>1</v>
      </c>
      <c r="B2" s="17" t="s">
        <v>352</v>
      </c>
      <c r="C2" s="17" t="s">
        <v>17</v>
      </c>
      <c r="D2" s="17" t="s">
        <v>740</v>
      </c>
      <c r="E2" s="17" t="s">
        <v>741</v>
      </c>
      <c r="F2" s="17" t="s">
        <v>742</v>
      </c>
    </row>
    <row r="3" spans="1:14" x14ac:dyDescent="0.25">
      <c r="A3" s="168">
        <v>44972</v>
      </c>
      <c r="B3" s="15">
        <v>688000</v>
      </c>
      <c r="C3" s="15">
        <f>(F3)*$C$1/36000</f>
        <v>177.73333333333335</v>
      </c>
      <c r="D3" s="15"/>
      <c r="E3" s="15"/>
      <c r="F3" s="15">
        <f>B3+D3+E3</f>
        <v>688000</v>
      </c>
    </row>
    <row r="4" spans="1:14" x14ac:dyDescent="0.25">
      <c r="A4" s="168">
        <v>44973</v>
      </c>
      <c r="B4" s="15">
        <f t="shared" ref="B4:B30" si="0">B3+D3+E3</f>
        <v>688000</v>
      </c>
      <c r="C4" s="15">
        <f t="shared" ref="C4:C67" si="1">(F4)*$C$1/36000</f>
        <v>177.73333333333335</v>
      </c>
      <c r="D4" s="15"/>
      <c r="E4" s="15"/>
      <c r="F4" s="15">
        <f t="shared" ref="F4:F67" si="2">B4+D4+E4</f>
        <v>688000</v>
      </c>
      <c r="L4">
        <v>688000</v>
      </c>
      <c r="M4">
        <f>L4*9.3/1200</f>
        <v>5332.0000000000009</v>
      </c>
      <c r="N4">
        <f>M4/30</f>
        <v>177.73333333333338</v>
      </c>
    </row>
    <row r="5" spans="1:14" x14ac:dyDescent="0.25">
      <c r="A5" s="168">
        <v>44974</v>
      </c>
      <c r="B5" s="15">
        <f t="shared" si="0"/>
        <v>688000</v>
      </c>
      <c r="C5" s="15">
        <f t="shared" si="1"/>
        <v>177.73333333333335</v>
      </c>
      <c r="D5" s="15"/>
      <c r="E5" s="15"/>
      <c r="F5" s="15">
        <f t="shared" si="2"/>
        <v>688000</v>
      </c>
      <c r="L5">
        <v>688000</v>
      </c>
      <c r="M5">
        <f>L5*9.3/1200</f>
        <v>5332.0000000000009</v>
      </c>
    </row>
    <row r="6" spans="1:14" x14ac:dyDescent="0.25">
      <c r="A6" s="168">
        <v>44975</v>
      </c>
      <c r="B6" s="15">
        <f t="shared" si="0"/>
        <v>688000</v>
      </c>
      <c r="C6" s="15">
        <f t="shared" si="1"/>
        <v>177.73333333333335</v>
      </c>
      <c r="D6" s="15"/>
      <c r="E6" s="15"/>
      <c r="F6" s="15">
        <f t="shared" si="2"/>
        <v>688000</v>
      </c>
    </row>
    <row r="7" spans="1:14" x14ac:dyDescent="0.25">
      <c r="A7" s="168">
        <v>44976</v>
      </c>
      <c r="B7" s="15">
        <f t="shared" si="0"/>
        <v>688000</v>
      </c>
      <c r="C7" s="15">
        <f t="shared" si="1"/>
        <v>177.73333333333335</v>
      </c>
      <c r="D7" s="15"/>
      <c r="E7" s="15"/>
      <c r="F7" s="15">
        <f t="shared" si="2"/>
        <v>688000</v>
      </c>
    </row>
    <row r="8" spans="1:14" x14ac:dyDescent="0.25">
      <c r="A8" s="168">
        <v>44977</v>
      </c>
      <c r="B8" s="15">
        <f t="shared" si="0"/>
        <v>688000</v>
      </c>
      <c r="C8" s="15">
        <f t="shared" si="1"/>
        <v>177.73333333333335</v>
      </c>
      <c r="D8" s="15"/>
      <c r="E8" s="15"/>
      <c r="F8" s="15">
        <f t="shared" si="2"/>
        <v>688000</v>
      </c>
    </row>
    <row r="9" spans="1:14" x14ac:dyDescent="0.25">
      <c r="A9" s="168">
        <v>44978</v>
      </c>
      <c r="B9" s="15">
        <f t="shared" si="0"/>
        <v>688000</v>
      </c>
      <c r="C9" s="15">
        <f t="shared" si="1"/>
        <v>177.73333333333335</v>
      </c>
      <c r="D9" s="15"/>
      <c r="E9" s="15"/>
      <c r="F9" s="15">
        <f t="shared" si="2"/>
        <v>688000</v>
      </c>
    </row>
    <row r="10" spans="1:14" x14ac:dyDescent="0.25">
      <c r="A10" s="168">
        <v>44979</v>
      </c>
      <c r="B10" s="15">
        <f t="shared" si="0"/>
        <v>688000</v>
      </c>
      <c r="C10" s="15">
        <f t="shared" si="1"/>
        <v>177.73333333333335</v>
      </c>
      <c r="D10" s="15"/>
      <c r="E10" s="15"/>
      <c r="F10" s="15">
        <f t="shared" si="2"/>
        <v>688000</v>
      </c>
    </row>
    <row r="11" spans="1:14" x14ac:dyDescent="0.25">
      <c r="A11" s="168">
        <v>44980</v>
      </c>
      <c r="B11" s="15">
        <f t="shared" si="0"/>
        <v>688000</v>
      </c>
      <c r="C11" s="15">
        <f t="shared" si="1"/>
        <v>177.73333333333335</v>
      </c>
      <c r="D11" s="15"/>
      <c r="E11" s="15"/>
      <c r="F11" s="15">
        <f t="shared" si="2"/>
        <v>688000</v>
      </c>
    </row>
    <row r="12" spans="1:14" x14ac:dyDescent="0.25">
      <c r="A12" s="168">
        <v>44981</v>
      </c>
      <c r="B12" s="15">
        <f t="shared" si="0"/>
        <v>688000</v>
      </c>
      <c r="C12" s="15">
        <f t="shared" si="1"/>
        <v>177.73333333333335</v>
      </c>
      <c r="D12" s="15"/>
      <c r="E12" s="15"/>
      <c r="F12" s="15">
        <f t="shared" si="2"/>
        <v>688000</v>
      </c>
    </row>
    <row r="13" spans="1:14" x14ac:dyDescent="0.25">
      <c r="A13" s="168">
        <v>44982</v>
      </c>
      <c r="B13" s="15">
        <f t="shared" si="0"/>
        <v>688000</v>
      </c>
      <c r="C13" s="15">
        <f t="shared" si="1"/>
        <v>177.73333333333335</v>
      </c>
      <c r="D13" s="15"/>
      <c r="E13" s="15"/>
      <c r="F13" s="15">
        <f t="shared" si="2"/>
        <v>688000</v>
      </c>
    </row>
    <row r="14" spans="1:14" x14ac:dyDescent="0.25">
      <c r="A14" s="168">
        <v>44983</v>
      </c>
      <c r="B14" s="15">
        <f t="shared" si="0"/>
        <v>688000</v>
      </c>
      <c r="C14" s="15">
        <f t="shared" si="1"/>
        <v>177.73333333333335</v>
      </c>
      <c r="D14" s="15"/>
      <c r="E14" s="15"/>
      <c r="F14" s="15">
        <f t="shared" si="2"/>
        <v>688000</v>
      </c>
    </row>
    <row r="15" spans="1:14" x14ac:dyDescent="0.25">
      <c r="A15" s="168">
        <v>44984</v>
      </c>
      <c r="B15" s="15">
        <f t="shared" si="0"/>
        <v>688000</v>
      </c>
      <c r="C15" s="15">
        <f t="shared" si="1"/>
        <v>177.73333333333335</v>
      </c>
      <c r="D15" s="15"/>
      <c r="E15" s="15"/>
      <c r="F15" s="15">
        <f t="shared" si="2"/>
        <v>688000</v>
      </c>
    </row>
    <row r="16" spans="1:14" x14ac:dyDescent="0.25">
      <c r="A16" s="168">
        <v>44985</v>
      </c>
      <c r="B16" s="15">
        <f t="shared" si="0"/>
        <v>688000</v>
      </c>
      <c r="C16" s="15">
        <f t="shared" si="1"/>
        <v>177.73333333333335</v>
      </c>
      <c r="D16" s="15"/>
      <c r="E16" s="15"/>
      <c r="F16" s="15">
        <f t="shared" si="2"/>
        <v>688000</v>
      </c>
    </row>
    <row r="17" spans="1:6" x14ac:dyDescent="0.25">
      <c r="A17" s="168">
        <v>44986</v>
      </c>
      <c r="B17" s="15">
        <f t="shared" si="0"/>
        <v>688000</v>
      </c>
      <c r="C17" s="15">
        <f t="shared" si="1"/>
        <v>177.73333333333335</v>
      </c>
      <c r="D17" s="15"/>
      <c r="E17" s="15"/>
      <c r="F17" s="15">
        <f t="shared" si="2"/>
        <v>688000</v>
      </c>
    </row>
    <row r="18" spans="1:6" x14ac:dyDescent="0.25">
      <c r="A18" s="168">
        <v>44987</v>
      </c>
      <c r="B18" s="15">
        <f t="shared" si="0"/>
        <v>688000</v>
      </c>
      <c r="C18" s="15">
        <f t="shared" si="1"/>
        <v>177.73333333333335</v>
      </c>
      <c r="D18" s="15"/>
      <c r="E18" s="15"/>
      <c r="F18" s="15">
        <f t="shared" si="2"/>
        <v>688000</v>
      </c>
    </row>
    <row r="19" spans="1:6" x14ac:dyDescent="0.25">
      <c r="A19" s="168">
        <v>44988</v>
      </c>
      <c r="B19" s="15">
        <f t="shared" si="0"/>
        <v>688000</v>
      </c>
      <c r="C19" s="15">
        <f t="shared" si="1"/>
        <v>177.73333333333335</v>
      </c>
      <c r="D19" s="15"/>
      <c r="E19" s="15"/>
      <c r="F19" s="15">
        <f t="shared" si="2"/>
        <v>688000</v>
      </c>
    </row>
    <row r="20" spans="1:6" x14ac:dyDescent="0.25">
      <c r="A20" s="168">
        <v>44989</v>
      </c>
      <c r="B20" s="15">
        <f t="shared" si="0"/>
        <v>688000</v>
      </c>
      <c r="C20" s="15">
        <f t="shared" si="1"/>
        <v>177.73333333333335</v>
      </c>
      <c r="D20" s="15"/>
      <c r="E20" s="15"/>
      <c r="F20" s="15">
        <f t="shared" si="2"/>
        <v>688000</v>
      </c>
    </row>
    <row r="21" spans="1:6" x14ac:dyDescent="0.25">
      <c r="A21" s="168">
        <v>44990</v>
      </c>
      <c r="B21" s="15">
        <f t="shared" si="0"/>
        <v>688000</v>
      </c>
      <c r="C21" s="15">
        <f t="shared" si="1"/>
        <v>177.73333333333335</v>
      </c>
      <c r="D21" s="15"/>
      <c r="E21" s="15"/>
      <c r="F21" s="15">
        <f t="shared" si="2"/>
        <v>688000</v>
      </c>
    </row>
    <row r="22" spans="1:6" x14ac:dyDescent="0.25">
      <c r="A22" s="168">
        <v>44991</v>
      </c>
      <c r="B22" s="15">
        <f t="shared" si="0"/>
        <v>688000</v>
      </c>
      <c r="C22" s="15">
        <f t="shared" si="1"/>
        <v>177.73333333333335</v>
      </c>
      <c r="D22" s="15"/>
      <c r="E22" s="15"/>
      <c r="F22" s="15">
        <f t="shared" si="2"/>
        <v>688000</v>
      </c>
    </row>
    <row r="23" spans="1:6" x14ac:dyDescent="0.25">
      <c r="A23" s="168">
        <v>44992</v>
      </c>
      <c r="B23" s="15">
        <f t="shared" si="0"/>
        <v>688000</v>
      </c>
      <c r="C23" s="15">
        <f t="shared" si="1"/>
        <v>177.73333333333335</v>
      </c>
      <c r="D23" s="15"/>
      <c r="E23" s="15"/>
      <c r="F23" s="15">
        <f t="shared" si="2"/>
        <v>688000</v>
      </c>
    </row>
    <row r="24" spans="1:6" x14ac:dyDescent="0.25">
      <c r="A24" s="168">
        <v>44993</v>
      </c>
      <c r="B24" s="15">
        <f t="shared" si="0"/>
        <v>688000</v>
      </c>
      <c r="C24" s="15">
        <f t="shared" si="1"/>
        <v>177.73333333333335</v>
      </c>
      <c r="D24" s="15"/>
      <c r="E24" s="15"/>
      <c r="F24" s="15">
        <f t="shared" si="2"/>
        <v>688000</v>
      </c>
    </row>
    <row r="25" spans="1:6" x14ac:dyDescent="0.25">
      <c r="A25" s="168">
        <v>44994</v>
      </c>
      <c r="B25" s="15">
        <f t="shared" si="0"/>
        <v>688000</v>
      </c>
      <c r="C25" s="15">
        <f t="shared" si="1"/>
        <v>177.73333333333335</v>
      </c>
      <c r="D25" s="15"/>
      <c r="E25" s="15"/>
      <c r="F25" s="15">
        <f t="shared" si="2"/>
        <v>688000</v>
      </c>
    </row>
    <row r="26" spans="1:6" x14ac:dyDescent="0.25">
      <c r="A26" s="168">
        <v>44995</v>
      </c>
      <c r="B26" s="15">
        <f t="shared" si="0"/>
        <v>688000</v>
      </c>
      <c r="C26" s="15">
        <f t="shared" si="1"/>
        <v>177.73333333333335</v>
      </c>
      <c r="D26" s="15"/>
      <c r="E26" s="15"/>
      <c r="F26" s="15">
        <f t="shared" si="2"/>
        <v>688000</v>
      </c>
    </row>
    <row r="27" spans="1:6" x14ac:dyDescent="0.25">
      <c r="A27" s="168">
        <v>44996</v>
      </c>
      <c r="B27" s="15">
        <f t="shared" si="0"/>
        <v>688000</v>
      </c>
      <c r="C27" s="15">
        <f t="shared" si="1"/>
        <v>177.73333333333335</v>
      </c>
      <c r="D27" s="15"/>
      <c r="E27" s="15"/>
      <c r="F27" s="15">
        <f t="shared" si="2"/>
        <v>688000</v>
      </c>
    </row>
    <row r="28" spans="1:6" x14ac:dyDescent="0.25">
      <c r="A28" s="168">
        <v>44997</v>
      </c>
      <c r="B28" s="15">
        <f t="shared" si="0"/>
        <v>688000</v>
      </c>
      <c r="C28" s="15">
        <f t="shared" si="1"/>
        <v>177.73333333333335</v>
      </c>
      <c r="D28" s="15"/>
      <c r="E28" s="15"/>
      <c r="F28" s="15">
        <f t="shared" si="2"/>
        <v>688000</v>
      </c>
    </row>
    <row r="29" spans="1:6" x14ac:dyDescent="0.25">
      <c r="A29" s="168">
        <v>44998</v>
      </c>
      <c r="B29" s="15">
        <f t="shared" si="0"/>
        <v>688000</v>
      </c>
      <c r="C29" s="15">
        <f t="shared" si="1"/>
        <v>177.73333333333335</v>
      </c>
      <c r="D29" s="15"/>
      <c r="E29" s="15"/>
      <c r="F29" s="15">
        <f t="shared" si="2"/>
        <v>688000</v>
      </c>
    </row>
    <row r="30" spans="1:6" x14ac:dyDescent="0.25">
      <c r="A30" s="168">
        <v>44999</v>
      </c>
      <c r="B30" s="15">
        <f t="shared" si="0"/>
        <v>688000</v>
      </c>
      <c r="C30" s="15">
        <f t="shared" si="1"/>
        <v>176.44166666666669</v>
      </c>
      <c r="D30" s="15">
        <v>-5000</v>
      </c>
      <c r="E30" s="15"/>
      <c r="F30" s="15">
        <f t="shared" si="2"/>
        <v>683000</v>
      </c>
    </row>
    <row r="31" spans="1:6" x14ac:dyDescent="0.25">
      <c r="A31" s="168">
        <v>45000</v>
      </c>
      <c r="B31" s="15">
        <f>B30+D30+E30</f>
        <v>683000</v>
      </c>
      <c r="C31" s="15">
        <f t="shared" si="1"/>
        <v>177.70930833333335</v>
      </c>
      <c r="D31" s="15"/>
      <c r="E31" s="15">
        <v>4907</v>
      </c>
      <c r="F31" s="15">
        <f t="shared" si="2"/>
        <v>687907</v>
      </c>
    </row>
    <row r="32" spans="1:6" x14ac:dyDescent="0.25">
      <c r="A32" s="168">
        <v>45001</v>
      </c>
      <c r="B32" s="15">
        <f t="shared" ref="B32:B95" si="3">B31+D31+E31</f>
        <v>687907</v>
      </c>
      <c r="C32" s="15">
        <f t="shared" si="1"/>
        <v>177.70930833333335</v>
      </c>
      <c r="D32" s="15"/>
      <c r="E32" s="15"/>
      <c r="F32" s="15">
        <f t="shared" si="2"/>
        <v>687907</v>
      </c>
    </row>
    <row r="33" spans="1:6" x14ac:dyDescent="0.25">
      <c r="A33" s="168">
        <v>45002</v>
      </c>
      <c r="B33" s="15">
        <f t="shared" si="3"/>
        <v>687907</v>
      </c>
      <c r="C33" s="15">
        <f t="shared" si="1"/>
        <v>177.70930833333335</v>
      </c>
      <c r="D33" s="15"/>
      <c r="E33" s="15"/>
      <c r="F33" s="15">
        <f t="shared" si="2"/>
        <v>687907</v>
      </c>
    </row>
    <row r="34" spans="1:6" x14ac:dyDescent="0.25">
      <c r="A34" s="168">
        <v>45003</v>
      </c>
      <c r="B34" s="15">
        <f t="shared" si="3"/>
        <v>687907</v>
      </c>
      <c r="C34" s="15">
        <f t="shared" si="1"/>
        <v>177.70930833333335</v>
      </c>
      <c r="D34" s="15"/>
      <c r="E34" s="15"/>
      <c r="F34" s="15">
        <f t="shared" si="2"/>
        <v>687907</v>
      </c>
    </row>
    <row r="35" spans="1:6" x14ac:dyDescent="0.25">
      <c r="A35" s="168">
        <v>45004</v>
      </c>
      <c r="B35" s="15">
        <f t="shared" si="3"/>
        <v>687907</v>
      </c>
      <c r="C35" s="15">
        <f t="shared" si="1"/>
        <v>177.70930833333335</v>
      </c>
      <c r="D35" s="15"/>
      <c r="E35" s="15"/>
      <c r="F35" s="15">
        <f t="shared" si="2"/>
        <v>687907</v>
      </c>
    </row>
    <row r="36" spans="1:6" x14ac:dyDescent="0.25">
      <c r="A36" s="168">
        <v>45005</v>
      </c>
      <c r="B36" s="15">
        <f t="shared" si="3"/>
        <v>687907</v>
      </c>
      <c r="C36" s="15">
        <f t="shared" si="1"/>
        <v>177.70930833333335</v>
      </c>
      <c r="D36" s="15"/>
      <c r="E36" s="15"/>
      <c r="F36" s="15">
        <f t="shared" si="2"/>
        <v>687907</v>
      </c>
    </row>
    <row r="37" spans="1:6" x14ac:dyDescent="0.25">
      <c r="A37" s="168">
        <v>45006</v>
      </c>
      <c r="B37" s="15">
        <f t="shared" si="3"/>
        <v>687907</v>
      </c>
      <c r="C37" s="15">
        <f t="shared" si="1"/>
        <v>177.70930833333335</v>
      </c>
      <c r="D37" s="15"/>
      <c r="E37" s="15"/>
      <c r="F37" s="15">
        <f t="shared" si="2"/>
        <v>687907</v>
      </c>
    </row>
    <row r="38" spans="1:6" x14ac:dyDescent="0.25">
      <c r="A38" s="168">
        <v>45007</v>
      </c>
      <c r="B38" s="15">
        <f t="shared" si="3"/>
        <v>687907</v>
      </c>
      <c r="C38" s="15">
        <f t="shared" si="1"/>
        <v>177.70930833333335</v>
      </c>
      <c r="D38" s="15"/>
      <c r="E38" s="15"/>
      <c r="F38" s="15">
        <f t="shared" si="2"/>
        <v>687907</v>
      </c>
    </row>
    <row r="39" spans="1:6" x14ac:dyDescent="0.25">
      <c r="A39" s="168">
        <v>45008</v>
      </c>
      <c r="B39" s="15">
        <f t="shared" si="3"/>
        <v>687907</v>
      </c>
      <c r="C39" s="15">
        <f t="shared" si="1"/>
        <v>177.70930833333335</v>
      </c>
      <c r="D39" s="15"/>
      <c r="E39" s="15"/>
      <c r="F39" s="15">
        <f t="shared" si="2"/>
        <v>687907</v>
      </c>
    </row>
    <row r="40" spans="1:6" x14ac:dyDescent="0.25">
      <c r="A40" s="168">
        <v>45009</v>
      </c>
      <c r="B40" s="15">
        <f t="shared" si="3"/>
        <v>687907</v>
      </c>
      <c r="C40" s="15">
        <f t="shared" si="1"/>
        <v>177.70930833333335</v>
      </c>
      <c r="D40" s="15"/>
      <c r="E40" s="15"/>
      <c r="F40" s="15">
        <f t="shared" si="2"/>
        <v>687907</v>
      </c>
    </row>
    <row r="41" spans="1:6" x14ac:dyDescent="0.25">
      <c r="A41" s="168">
        <v>45010</v>
      </c>
      <c r="B41" s="15">
        <f t="shared" si="3"/>
        <v>687907</v>
      </c>
      <c r="C41" s="15">
        <f t="shared" si="1"/>
        <v>177.70930833333335</v>
      </c>
      <c r="D41" s="15"/>
      <c r="E41" s="15"/>
      <c r="F41" s="15">
        <f t="shared" si="2"/>
        <v>687907</v>
      </c>
    </row>
    <row r="42" spans="1:6" x14ac:dyDescent="0.25">
      <c r="A42" s="168">
        <v>45011</v>
      </c>
      <c r="B42" s="15">
        <f t="shared" si="3"/>
        <v>687907</v>
      </c>
      <c r="C42" s="15">
        <f t="shared" si="1"/>
        <v>177.70930833333335</v>
      </c>
      <c r="D42" s="15"/>
      <c r="E42" s="15"/>
      <c r="F42" s="15">
        <f t="shared" si="2"/>
        <v>687907</v>
      </c>
    </row>
    <row r="43" spans="1:6" x14ac:dyDescent="0.25">
      <c r="A43" s="168">
        <v>45012</v>
      </c>
      <c r="B43" s="15">
        <f t="shared" si="3"/>
        <v>687907</v>
      </c>
      <c r="C43" s="15">
        <f t="shared" si="1"/>
        <v>177.70930833333335</v>
      </c>
      <c r="D43" s="15"/>
      <c r="E43" s="15"/>
      <c r="F43" s="15">
        <f t="shared" si="2"/>
        <v>687907</v>
      </c>
    </row>
    <row r="44" spans="1:6" x14ac:dyDescent="0.25">
      <c r="A44" s="168">
        <v>45013</v>
      </c>
      <c r="B44" s="15">
        <f t="shared" si="3"/>
        <v>687907</v>
      </c>
      <c r="C44" s="15">
        <f t="shared" si="1"/>
        <v>177.70930833333335</v>
      </c>
      <c r="D44" s="15"/>
      <c r="E44" s="15"/>
      <c r="F44" s="15">
        <f t="shared" si="2"/>
        <v>687907</v>
      </c>
    </row>
    <row r="45" spans="1:6" x14ac:dyDescent="0.25">
      <c r="A45" s="168">
        <v>45014</v>
      </c>
      <c r="B45" s="15">
        <f t="shared" si="3"/>
        <v>687907</v>
      </c>
      <c r="C45" s="15">
        <f t="shared" si="1"/>
        <v>177.70930833333335</v>
      </c>
      <c r="D45" s="15"/>
      <c r="E45" s="15"/>
      <c r="F45" s="15">
        <f t="shared" si="2"/>
        <v>687907</v>
      </c>
    </row>
    <row r="46" spans="1:6" x14ac:dyDescent="0.25">
      <c r="A46" s="168">
        <v>45015</v>
      </c>
      <c r="B46" s="15">
        <f t="shared" si="3"/>
        <v>687907</v>
      </c>
      <c r="C46" s="15">
        <f t="shared" si="1"/>
        <v>177.70930833333335</v>
      </c>
      <c r="D46" s="15"/>
      <c r="E46" s="15"/>
      <c r="F46" s="15">
        <f t="shared" si="2"/>
        <v>687907</v>
      </c>
    </row>
    <row r="47" spans="1:6" x14ac:dyDescent="0.25">
      <c r="A47" s="168">
        <v>45016</v>
      </c>
      <c r="B47" s="15">
        <f t="shared" si="3"/>
        <v>687907</v>
      </c>
      <c r="C47" s="15">
        <f t="shared" si="1"/>
        <v>177.70930833333335</v>
      </c>
      <c r="D47" s="15"/>
      <c r="E47" s="15"/>
      <c r="F47" s="15">
        <f t="shared" si="2"/>
        <v>687907</v>
      </c>
    </row>
    <row r="48" spans="1:6" x14ac:dyDescent="0.25">
      <c r="A48" s="168">
        <v>45017</v>
      </c>
      <c r="B48" s="15">
        <f t="shared" si="3"/>
        <v>687907</v>
      </c>
      <c r="C48" s="15">
        <f t="shared" si="1"/>
        <v>177.70930833333335</v>
      </c>
      <c r="D48" s="15"/>
      <c r="E48" s="15"/>
      <c r="F48" s="15">
        <f t="shared" si="2"/>
        <v>687907</v>
      </c>
    </row>
    <row r="49" spans="1:6" x14ac:dyDescent="0.25">
      <c r="A49" s="168">
        <v>45018</v>
      </c>
      <c r="B49" s="15">
        <f t="shared" si="3"/>
        <v>687907</v>
      </c>
      <c r="C49" s="15">
        <f t="shared" si="1"/>
        <v>177.70930833333335</v>
      </c>
      <c r="D49" s="15"/>
      <c r="E49" s="15"/>
      <c r="F49" s="15">
        <f t="shared" si="2"/>
        <v>687907</v>
      </c>
    </row>
    <row r="50" spans="1:6" x14ac:dyDescent="0.25">
      <c r="A50" s="168">
        <v>45019</v>
      </c>
      <c r="B50" s="15">
        <f t="shared" si="3"/>
        <v>687907</v>
      </c>
      <c r="C50" s="15">
        <f t="shared" si="1"/>
        <v>176.15930833333334</v>
      </c>
      <c r="D50" s="15">
        <v>-6000</v>
      </c>
      <c r="E50" s="15"/>
      <c r="F50" s="15">
        <f t="shared" si="2"/>
        <v>681907</v>
      </c>
    </row>
    <row r="51" spans="1:6" x14ac:dyDescent="0.25">
      <c r="A51" s="168">
        <v>45020</v>
      </c>
      <c r="B51" s="15">
        <f t="shared" si="3"/>
        <v>681907</v>
      </c>
      <c r="C51" s="15">
        <f t="shared" si="1"/>
        <v>176.15930833333334</v>
      </c>
      <c r="D51" s="15"/>
      <c r="E51" s="15"/>
      <c r="F51" s="15">
        <f t="shared" si="2"/>
        <v>681907</v>
      </c>
    </row>
    <row r="52" spans="1:6" x14ac:dyDescent="0.25">
      <c r="A52" s="168">
        <v>45021</v>
      </c>
      <c r="B52" s="15">
        <f t="shared" si="3"/>
        <v>681907</v>
      </c>
      <c r="C52" s="15">
        <f t="shared" si="1"/>
        <v>176.15930833333334</v>
      </c>
      <c r="D52" s="15"/>
      <c r="E52" s="15"/>
      <c r="F52" s="15">
        <f t="shared" si="2"/>
        <v>681907</v>
      </c>
    </row>
    <row r="53" spans="1:6" x14ac:dyDescent="0.25">
      <c r="A53" s="168">
        <v>45022</v>
      </c>
      <c r="B53" s="15">
        <f t="shared" si="3"/>
        <v>681907</v>
      </c>
      <c r="C53" s="15">
        <f t="shared" si="1"/>
        <v>176.15930833333334</v>
      </c>
      <c r="D53" s="15"/>
      <c r="E53" s="15"/>
      <c r="F53" s="15">
        <f t="shared" si="2"/>
        <v>681907</v>
      </c>
    </row>
    <row r="54" spans="1:6" x14ac:dyDescent="0.25">
      <c r="A54" s="168">
        <v>45023</v>
      </c>
      <c r="B54" s="15">
        <f t="shared" si="3"/>
        <v>681907</v>
      </c>
      <c r="C54" s="15">
        <f t="shared" si="1"/>
        <v>176.15930833333334</v>
      </c>
      <c r="D54" s="15"/>
      <c r="E54" s="15"/>
      <c r="F54" s="15">
        <f t="shared" si="2"/>
        <v>681907</v>
      </c>
    </row>
    <row r="55" spans="1:6" x14ac:dyDescent="0.25">
      <c r="A55" s="168">
        <v>45024</v>
      </c>
      <c r="B55" s="15">
        <f t="shared" si="3"/>
        <v>681907</v>
      </c>
      <c r="C55" s="15">
        <f t="shared" si="1"/>
        <v>176.15930833333334</v>
      </c>
      <c r="D55" s="15"/>
      <c r="E55" s="15"/>
      <c r="F55" s="15">
        <f t="shared" si="2"/>
        <v>681907</v>
      </c>
    </row>
    <row r="56" spans="1:6" x14ac:dyDescent="0.25">
      <c r="A56" s="168">
        <v>45025</v>
      </c>
      <c r="B56" s="15">
        <f t="shared" si="3"/>
        <v>681907</v>
      </c>
      <c r="C56" s="15">
        <f t="shared" si="1"/>
        <v>176.15930833333334</v>
      </c>
      <c r="D56" s="15"/>
      <c r="E56" s="15"/>
      <c r="F56" s="15">
        <f t="shared" si="2"/>
        <v>681907</v>
      </c>
    </row>
    <row r="57" spans="1:6" x14ac:dyDescent="0.25">
      <c r="A57" s="168">
        <v>45026</v>
      </c>
      <c r="B57" s="15">
        <f t="shared" si="3"/>
        <v>681907</v>
      </c>
      <c r="C57" s="15">
        <f t="shared" si="1"/>
        <v>176.15930833333334</v>
      </c>
      <c r="D57" s="15"/>
      <c r="E57" s="15"/>
      <c r="F57" s="15">
        <f t="shared" si="2"/>
        <v>681907</v>
      </c>
    </row>
    <row r="58" spans="1:6" x14ac:dyDescent="0.25">
      <c r="A58" s="168">
        <v>45027</v>
      </c>
      <c r="B58" s="15">
        <f t="shared" si="3"/>
        <v>681907</v>
      </c>
      <c r="C58" s="15">
        <f t="shared" si="1"/>
        <v>176.15930833333334</v>
      </c>
      <c r="D58" s="15"/>
      <c r="E58" s="15"/>
      <c r="F58" s="15">
        <f t="shared" si="2"/>
        <v>681907</v>
      </c>
    </row>
    <row r="59" spans="1:6" x14ac:dyDescent="0.25">
      <c r="A59" s="168">
        <v>45028</v>
      </c>
      <c r="B59" s="15">
        <f t="shared" si="3"/>
        <v>681907</v>
      </c>
      <c r="C59" s="15">
        <f t="shared" si="1"/>
        <v>176.15930833333334</v>
      </c>
      <c r="D59" s="15"/>
      <c r="E59" s="15"/>
      <c r="F59" s="15">
        <f t="shared" si="2"/>
        <v>681907</v>
      </c>
    </row>
    <row r="60" spans="1:6" x14ac:dyDescent="0.25">
      <c r="A60" s="168">
        <v>45029</v>
      </c>
      <c r="B60" s="15">
        <f t="shared" si="3"/>
        <v>681907</v>
      </c>
      <c r="C60" s="15">
        <f t="shared" si="1"/>
        <v>176.15930833333334</v>
      </c>
      <c r="D60" s="15"/>
      <c r="E60" s="15"/>
      <c r="F60" s="15">
        <f t="shared" si="2"/>
        <v>681907</v>
      </c>
    </row>
    <row r="61" spans="1:6" x14ac:dyDescent="0.25">
      <c r="A61" s="168">
        <v>45030</v>
      </c>
      <c r="B61" s="15">
        <f t="shared" si="3"/>
        <v>681907</v>
      </c>
      <c r="C61" s="15">
        <f t="shared" si="1"/>
        <v>176.15930833333334</v>
      </c>
      <c r="D61" s="15"/>
      <c r="E61" s="15"/>
      <c r="F61" s="15">
        <f t="shared" si="2"/>
        <v>681907</v>
      </c>
    </row>
    <row r="62" spans="1:6" x14ac:dyDescent="0.25">
      <c r="A62" s="168">
        <v>45031</v>
      </c>
      <c r="B62" s="15">
        <f t="shared" si="3"/>
        <v>681907</v>
      </c>
      <c r="C62" s="15">
        <f t="shared" si="1"/>
        <v>176.15930833333334</v>
      </c>
      <c r="D62" s="15"/>
      <c r="E62" s="15"/>
      <c r="F62" s="15">
        <f t="shared" si="2"/>
        <v>681907</v>
      </c>
    </row>
    <row r="63" spans="1:6" x14ac:dyDescent="0.25">
      <c r="A63" s="168">
        <v>45032</v>
      </c>
      <c r="B63" s="15">
        <f t="shared" si="3"/>
        <v>681907</v>
      </c>
      <c r="C63" s="15">
        <f t="shared" si="1"/>
        <v>176.15930833333334</v>
      </c>
      <c r="D63" s="15"/>
      <c r="E63" s="15"/>
      <c r="F63" s="15">
        <f t="shared" si="2"/>
        <v>681907</v>
      </c>
    </row>
    <row r="64" spans="1:6" x14ac:dyDescent="0.25">
      <c r="A64" s="168">
        <v>45033</v>
      </c>
      <c r="B64" s="15">
        <f t="shared" si="3"/>
        <v>681907</v>
      </c>
      <c r="C64" s="15">
        <f t="shared" si="1"/>
        <v>176.15930833333334</v>
      </c>
      <c r="D64" s="15"/>
      <c r="E64" s="15"/>
      <c r="F64" s="15">
        <f t="shared" si="2"/>
        <v>681907</v>
      </c>
    </row>
    <row r="65" spans="1:6" x14ac:dyDescent="0.25">
      <c r="A65" s="168">
        <v>45034</v>
      </c>
      <c r="B65" s="15">
        <f t="shared" si="3"/>
        <v>681907</v>
      </c>
      <c r="C65" s="15">
        <f t="shared" si="1"/>
        <v>176.15930833333334</v>
      </c>
      <c r="D65" s="15"/>
      <c r="E65" s="15"/>
      <c r="F65" s="15">
        <f t="shared" si="2"/>
        <v>681907</v>
      </c>
    </row>
    <row r="66" spans="1:6" x14ac:dyDescent="0.25">
      <c r="A66" s="168">
        <v>45035</v>
      </c>
      <c r="B66" s="15">
        <f t="shared" si="3"/>
        <v>681907</v>
      </c>
      <c r="C66" s="15">
        <f t="shared" si="1"/>
        <v>176.15930833333334</v>
      </c>
      <c r="D66" s="15"/>
      <c r="E66" s="15"/>
      <c r="F66" s="15">
        <f t="shared" si="2"/>
        <v>681907</v>
      </c>
    </row>
    <row r="67" spans="1:6" x14ac:dyDescent="0.25">
      <c r="A67" s="168">
        <v>45036</v>
      </c>
      <c r="B67" s="15">
        <f t="shared" si="3"/>
        <v>681907</v>
      </c>
      <c r="C67" s="15">
        <f t="shared" si="1"/>
        <v>176.15930833333334</v>
      </c>
      <c r="D67" s="15"/>
      <c r="E67" s="15"/>
      <c r="F67" s="15">
        <f t="shared" si="2"/>
        <v>681907</v>
      </c>
    </row>
    <row r="68" spans="1:6" x14ac:dyDescent="0.25">
      <c r="A68" s="168">
        <v>45037</v>
      </c>
      <c r="B68" s="15">
        <f t="shared" si="3"/>
        <v>681907</v>
      </c>
      <c r="C68" s="15">
        <f t="shared" ref="C68:C131" si="4">(F68)*$C$1/36000</f>
        <v>176.15930833333334</v>
      </c>
      <c r="D68" s="15"/>
      <c r="E68" s="15"/>
      <c r="F68" s="15">
        <f t="shared" ref="F68:F131" si="5">B68+D68+E68</f>
        <v>681907</v>
      </c>
    </row>
    <row r="69" spans="1:6" x14ac:dyDescent="0.25">
      <c r="A69" s="168">
        <v>45038</v>
      </c>
      <c r="B69" s="15">
        <f t="shared" si="3"/>
        <v>681907</v>
      </c>
      <c r="C69" s="15">
        <f t="shared" si="4"/>
        <v>176.15930833333334</v>
      </c>
      <c r="D69" s="15"/>
      <c r="E69" s="15"/>
      <c r="F69" s="15">
        <f t="shared" si="5"/>
        <v>681907</v>
      </c>
    </row>
    <row r="70" spans="1:6" x14ac:dyDescent="0.25">
      <c r="A70" s="168">
        <v>45039</v>
      </c>
      <c r="B70" s="15">
        <f t="shared" si="3"/>
        <v>681907</v>
      </c>
      <c r="C70" s="15">
        <f t="shared" si="4"/>
        <v>176.15930833333334</v>
      </c>
      <c r="D70" s="15"/>
      <c r="E70" s="15"/>
      <c r="F70" s="15">
        <f t="shared" si="5"/>
        <v>681907</v>
      </c>
    </row>
    <row r="71" spans="1:6" x14ac:dyDescent="0.25">
      <c r="A71" s="168">
        <v>45040</v>
      </c>
      <c r="B71" s="15">
        <f t="shared" si="3"/>
        <v>681907</v>
      </c>
      <c r="C71" s="15">
        <f t="shared" si="4"/>
        <v>176.15930833333334</v>
      </c>
      <c r="D71" s="15"/>
      <c r="E71" s="15"/>
      <c r="F71" s="15">
        <f t="shared" si="5"/>
        <v>681907</v>
      </c>
    </row>
    <row r="72" spans="1:6" x14ac:dyDescent="0.25">
      <c r="A72" s="168">
        <v>45041</v>
      </c>
      <c r="B72" s="15">
        <f t="shared" si="3"/>
        <v>681907</v>
      </c>
      <c r="C72" s="15">
        <f t="shared" si="4"/>
        <v>176.15930833333334</v>
      </c>
      <c r="D72" s="15"/>
      <c r="E72" s="15"/>
      <c r="F72" s="15">
        <f t="shared" si="5"/>
        <v>681907</v>
      </c>
    </row>
    <row r="73" spans="1:6" x14ac:dyDescent="0.25">
      <c r="A73" s="168">
        <v>45042</v>
      </c>
      <c r="B73" s="15">
        <f t="shared" si="3"/>
        <v>681907</v>
      </c>
      <c r="C73" s="15">
        <f t="shared" si="4"/>
        <v>176.15930833333334</v>
      </c>
      <c r="D73" s="15"/>
      <c r="E73" s="15"/>
      <c r="F73" s="15">
        <f t="shared" si="5"/>
        <v>681907</v>
      </c>
    </row>
    <row r="74" spans="1:6" x14ac:dyDescent="0.25">
      <c r="A74" s="168">
        <v>45043</v>
      </c>
      <c r="B74" s="15">
        <f t="shared" si="3"/>
        <v>681907</v>
      </c>
      <c r="C74" s="15">
        <f t="shared" si="4"/>
        <v>176.15930833333334</v>
      </c>
      <c r="D74" s="15"/>
      <c r="E74" s="15"/>
      <c r="F74" s="15">
        <f t="shared" si="5"/>
        <v>681907</v>
      </c>
    </row>
    <row r="75" spans="1:6" x14ac:dyDescent="0.25">
      <c r="A75" s="168">
        <v>45044</v>
      </c>
      <c r="B75" s="15">
        <f t="shared" si="3"/>
        <v>681907</v>
      </c>
      <c r="C75" s="15">
        <f t="shared" si="4"/>
        <v>176.15930833333334</v>
      </c>
      <c r="D75" s="15"/>
      <c r="E75" s="15"/>
      <c r="F75" s="15">
        <f t="shared" si="5"/>
        <v>681907</v>
      </c>
    </row>
    <row r="76" spans="1:6" x14ac:dyDescent="0.25">
      <c r="A76" s="168">
        <v>45045</v>
      </c>
      <c r="B76" s="15">
        <f t="shared" si="3"/>
        <v>681907</v>
      </c>
      <c r="C76" s="15">
        <f t="shared" si="4"/>
        <v>178.23140000000001</v>
      </c>
      <c r="D76" s="15"/>
      <c r="E76" s="15">
        <v>8021</v>
      </c>
      <c r="F76" s="15">
        <f t="shared" si="5"/>
        <v>689928</v>
      </c>
    </row>
    <row r="77" spans="1:6" x14ac:dyDescent="0.25">
      <c r="A77" s="168">
        <v>45046</v>
      </c>
      <c r="B77" s="15">
        <f t="shared" si="3"/>
        <v>689928</v>
      </c>
      <c r="C77" s="15">
        <f t="shared" si="4"/>
        <v>178.23140000000001</v>
      </c>
      <c r="D77" s="15"/>
      <c r="E77" s="15"/>
      <c r="F77" s="15">
        <f t="shared" si="5"/>
        <v>689928</v>
      </c>
    </row>
    <row r="78" spans="1:6" x14ac:dyDescent="0.25">
      <c r="A78" s="168">
        <v>45047</v>
      </c>
      <c r="B78" s="15">
        <f t="shared" si="3"/>
        <v>689928</v>
      </c>
      <c r="C78" s="15">
        <f t="shared" si="4"/>
        <v>178.23140000000001</v>
      </c>
      <c r="D78" s="15"/>
      <c r="E78" s="15"/>
      <c r="F78" s="15">
        <f t="shared" si="5"/>
        <v>689928</v>
      </c>
    </row>
    <row r="79" spans="1:6" x14ac:dyDescent="0.25">
      <c r="A79" s="168">
        <v>45048</v>
      </c>
      <c r="B79" s="15">
        <f t="shared" si="3"/>
        <v>689928</v>
      </c>
      <c r="C79" s="15">
        <f t="shared" si="4"/>
        <v>175.64806666666667</v>
      </c>
      <c r="D79" s="15">
        <v>-10000</v>
      </c>
      <c r="E79" s="15"/>
      <c r="F79" s="15">
        <f t="shared" si="5"/>
        <v>679928</v>
      </c>
    </row>
    <row r="80" spans="1:6" x14ac:dyDescent="0.25">
      <c r="A80" s="168">
        <v>45049</v>
      </c>
      <c r="B80" s="15">
        <f t="shared" si="3"/>
        <v>679928</v>
      </c>
      <c r="C80" s="15">
        <f t="shared" si="4"/>
        <v>175.64806666666667</v>
      </c>
      <c r="D80" s="15"/>
      <c r="E80" s="15"/>
      <c r="F80" s="15">
        <f t="shared" si="5"/>
        <v>679928</v>
      </c>
    </row>
    <row r="81" spans="1:6" x14ac:dyDescent="0.25">
      <c r="A81" s="168">
        <v>45050</v>
      </c>
      <c r="B81" s="15">
        <f t="shared" si="3"/>
        <v>679928</v>
      </c>
      <c r="C81" s="15">
        <f t="shared" si="4"/>
        <v>175.64806666666667</v>
      </c>
      <c r="D81" s="15"/>
      <c r="E81" s="15"/>
      <c r="F81" s="15">
        <f t="shared" si="5"/>
        <v>679928</v>
      </c>
    </row>
    <row r="82" spans="1:6" x14ac:dyDescent="0.25">
      <c r="A82" s="168">
        <v>45051</v>
      </c>
      <c r="B82" s="15">
        <f t="shared" si="3"/>
        <v>679928</v>
      </c>
      <c r="C82" s="15">
        <f t="shared" si="4"/>
        <v>175.64806666666667</v>
      </c>
      <c r="D82" s="15"/>
      <c r="E82" s="15"/>
      <c r="F82" s="15">
        <f t="shared" si="5"/>
        <v>679928</v>
      </c>
    </row>
    <row r="83" spans="1:6" x14ac:dyDescent="0.25">
      <c r="A83" s="168">
        <v>45052</v>
      </c>
      <c r="B83" s="15">
        <f t="shared" si="3"/>
        <v>679928</v>
      </c>
      <c r="C83" s="15">
        <f t="shared" si="4"/>
        <v>175.64806666666667</v>
      </c>
      <c r="D83" s="15"/>
      <c r="E83" s="15"/>
      <c r="F83" s="15">
        <f t="shared" si="5"/>
        <v>679928</v>
      </c>
    </row>
    <row r="84" spans="1:6" x14ac:dyDescent="0.25">
      <c r="A84" s="168">
        <v>45053</v>
      </c>
      <c r="B84" s="15">
        <f t="shared" si="3"/>
        <v>679928</v>
      </c>
      <c r="C84" s="15">
        <f t="shared" si="4"/>
        <v>175.64806666666667</v>
      </c>
      <c r="D84" s="15"/>
      <c r="E84" s="15"/>
      <c r="F84" s="15">
        <f t="shared" si="5"/>
        <v>679928</v>
      </c>
    </row>
    <row r="85" spans="1:6" x14ac:dyDescent="0.25">
      <c r="A85" s="168">
        <v>45054</v>
      </c>
      <c r="B85" s="15">
        <f t="shared" si="3"/>
        <v>679928</v>
      </c>
      <c r="C85" s="15">
        <f t="shared" si="4"/>
        <v>175.64806666666667</v>
      </c>
      <c r="D85" s="15"/>
      <c r="E85" s="15"/>
      <c r="F85" s="15">
        <f t="shared" si="5"/>
        <v>679928</v>
      </c>
    </row>
    <row r="86" spans="1:6" x14ac:dyDescent="0.25">
      <c r="A86" s="168">
        <v>45055</v>
      </c>
      <c r="B86" s="15">
        <f t="shared" si="3"/>
        <v>679928</v>
      </c>
      <c r="C86" s="15">
        <f t="shared" si="4"/>
        <v>175.64806666666667</v>
      </c>
      <c r="D86" s="15"/>
      <c r="E86" s="15"/>
      <c r="F86" s="15">
        <f t="shared" si="5"/>
        <v>679928</v>
      </c>
    </row>
    <row r="87" spans="1:6" x14ac:dyDescent="0.25">
      <c r="A87" s="168">
        <v>45056</v>
      </c>
      <c r="B87" s="15">
        <f t="shared" si="3"/>
        <v>679928</v>
      </c>
      <c r="C87" s="15">
        <f t="shared" si="4"/>
        <v>175.64806666666667</v>
      </c>
      <c r="D87" s="15"/>
      <c r="E87" s="15"/>
      <c r="F87" s="15">
        <f t="shared" si="5"/>
        <v>679928</v>
      </c>
    </row>
    <row r="88" spans="1:6" x14ac:dyDescent="0.25">
      <c r="A88" s="168">
        <v>45057</v>
      </c>
      <c r="B88" s="15">
        <f t="shared" si="3"/>
        <v>679928</v>
      </c>
      <c r="C88" s="15">
        <f t="shared" si="4"/>
        <v>175.64806666666667</v>
      </c>
      <c r="D88" s="15"/>
      <c r="E88" s="15"/>
      <c r="F88" s="15">
        <f t="shared" si="5"/>
        <v>679928</v>
      </c>
    </row>
    <row r="89" spans="1:6" x14ac:dyDescent="0.25">
      <c r="A89" s="168">
        <v>45058</v>
      </c>
      <c r="B89" s="15">
        <f t="shared" si="3"/>
        <v>679928</v>
      </c>
      <c r="C89" s="15">
        <f t="shared" si="4"/>
        <v>175.64806666666667</v>
      </c>
      <c r="D89" s="15"/>
      <c r="E89" s="15"/>
      <c r="F89" s="15">
        <f t="shared" si="5"/>
        <v>679928</v>
      </c>
    </row>
    <row r="90" spans="1:6" x14ac:dyDescent="0.25">
      <c r="A90" s="168">
        <v>45059</v>
      </c>
      <c r="B90" s="15">
        <f t="shared" si="3"/>
        <v>679928</v>
      </c>
      <c r="C90" s="15">
        <f t="shared" si="4"/>
        <v>175.64806666666667</v>
      </c>
      <c r="D90" s="15"/>
      <c r="E90" s="15"/>
      <c r="F90" s="15">
        <f t="shared" si="5"/>
        <v>679928</v>
      </c>
    </row>
    <row r="91" spans="1:6" x14ac:dyDescent="0.25">
      <c r="A91" s="168">
        <v>45060</v>
      </c>
      <c r="B91" s="15">
        <f t="shared" si="3"/>
        <v>679928</v>
      </c>
      <c r="C91" s="15">
        <f t="shared" si="4"/>
        <v>175.64806666666667</v>
      </c>
      <c r="D91" s="15"/>
      <c r="E91" s="15"/>
      <c r="F91" s="15">
        <f t="shared" si="5"/>
        <v>679928</v>
      </c>
    </row>
    <row r="92" spans="1:6" x14ac:dyDescent="0.25">
      <c r="A92" s="168">
        <v>45061</v>
      </c>
      <c r="B92" s="15">
        <f t="shared" si="3"/>
        <v>679928</v>
      </c>
      <c r="C92" s="15">
        <f t="shared" si="4"/>
        <v>175.64806666666667</v>
      </c>
      <c r="D92" s="15"/>
      <c r="E92" s="15"/>
      <c r="F92" s="15">
        <f t="shared" si="5"/>
        <v>679928</v>
      </c>
    </row>
    <row r="93" spans="1:6" x14ac:dyDescent="0.25">
      <c r="A93" s="168">
        <v>45062</v>
      </c>
      <c r="B93" s="15">
        <f t="shared" si="3"/>
        <v>679928</v>
      </c>
      <c r="C93" s="15">
        <f t="shared" si="4"/>
        <v>175.64806666666667</v>
      </c>
      <c r="D93" s="15"/>
      <c r="E93" s="15"/>
      <c r="F93" s="15">
        <f t="shared" si="5"/>
        <v>679928</v>
      </c>
    </row>
    <row r="94" spans="1:6" x14ac:dyDescent="0.25">
      <c r="A94" s="168">
        <v>45063</v>
      </c>
      <c r="B94" s="15">
        <f t="shared" si="3"/>
        <v>679928</v>
      </c>
      <c r="C94" s="15">
        <f t="shared" si="4"/>
        <v>175.64806666666667</v>
      </c>
      <c r="D94" s="15"/>
      <c r="E94" s="15"/>
      <c r="F94" s="15">
        <f t="shared" si="5"/>
        <v>679928</v>
      </c>
    </row>
    <row r="95" spans="1:6" x14ac:dyDescent="0.25">
      <c r="A95" s="168">
        <v>45064</v>
      </c>
      <c r="B95" s="15">
        <f t="shared" si="3"/>
        <v>679928</v>
      </c>
      <c r="C95" s="15">
        <f t="shared" si="4"/>
        <v>175.64806666666667</v>
      </c>
      <c r="D95" s="15"/>
      <c r="E95" s="15"/>
      <c r="F95" s="15">
        <f t="shared" si="5"/>
        <v>679928</v>
      </c>
    </row>
    <row r="96" spans="1:6" x14ac:dyDescent="0.25">
      <c r="A96" s="168">
        <v>45065</v>
      </c>
      <c r="B96" s="15">
        <f t="shared" ref="B96:B159" si="6">B95+D95+E95</f>
        <v>679928</v>
      </c>
      <c r="C96" s="15">
        <f t="shared" si="4"/>
        <v>175.64806666666667</v>
      </c>
      <c r="D96" s="15"/>
      <c r="E96" s="15"/>
      <c r="F96" s="15">
        <f t="shared" si="5"/>
        <v>679928</v>
      </c>
    </row>
    <row r="97" spans="1:6" x14ac:dyDescent="0.25">
      <c r="A97" s="168">
        <v>45066</v>
      </c>
      <c r="B97" s="15">
        <f t="shared" si="6"/>
        <v>679928</v>
      </c>
      <c r="C97" s="15">
        <f t="shared" si="4"/>
        <v>175.64806666666667</v>
      </c>
      <c r="D97" s="15"/>
      <c r="E97" s="15"/>
      <c r="F97" s="15">
        <f t="shared" si="5"/>
        <v>679928</v>
      </c>
    </row>
    <row r="98" spans="1:6" x14ac:dyDescent="0.25">
      <c r="A98" s="168">
        <v>45067</v>
      </c>
      <c r="B98" s="15">
        <f t="shared" si="6"/>
        <v>679928</v>
      </c>
      <c r="C98" s="15">
        <f t="shared" si="4"/>
        <v>175.64806666666667</v>
      </c>
      <c r="D98" s="15"/>
      <c r="E98" s="15"/>
      <c r="F98" s="15">
        <f t="shared" si="5"/>
        <v>679928</v>
      </c>
    </row>
    <row r="99" spans="1:6" x14ac:dyDescent="0.25">
      <c r="A99" s="168">
        <v>45068</v>
      </c>
      <c r="B99" s="15">
        <f t="shared" si="6"/>
        <v>679928</v>
      </c>
      <c r="C99" s="15">
        <f t="shared" si="4"/>
        <v>175.64806666666667</v>
      </c>
      <c r="D99" s="15"/>
      <c r="E99" s="15"/>
      <c r="F99" s="15">
        <f t="shared" si="5"/>
        <v>679928</v>
      </c>
    </row>
    <row r="100" spans="1:6" x14ac:dyDescent="0.25">
      <c r="A100" s="168">
        <v>45069</v>
      </c>
      <c r="B100" s="15">
        <f t="shared" si="6"/>
        <v>679928</v>
      </c>
      <c r="C100" s="15">
        <f t="shared" si="4"/>
        <v>175.64806666666667</v>
      </c>
      <c r="D100" s="15"/>
      <c r="E100" s="15"/>
      <c r="F100" s="15">
        <f t="shared" si="5"/>
        <v>679928</v>
      </c>
    </row>
    <row r="101" spans="1:6" x14ac:dyDescent="0.25">
      <c r="A101" s="168">
        <v>45070</v>
      </c>
      <c r="B101" s="15">
        <f t="shared" si="6"/>
        <v>679928</v>
      </c>
      <c r="C101" s="15">
        <f t="shared" si="4"/>
        <v>175.64806666666667</v>
      </c>
      <c r="D101" s="15"/>
      <c r="E101" s="15"/>
      <c r="F101" s="15">
        <f t="shared" si="5"/>
        <v>679928</v>
      </c>
    </row>
    <row r="102" spans="1:6" x14ac:dyDescent="0.25">
      <c r="A102" s="168">
        <v>45071</v>
      </c>
      <c r="B102" s="15">
        <f t="shared" si="6"/>
        <v>679928</v>
      </c>
      <c r="C102" s="15">
        <f t="shared" si="4"/>
        <v>175.64806666666667</v>
      </c>
      <c r="D102" s="15"/>
      <c r="E102" s="15"/>
      <c r="F102" s="15">
        <f t="shared" si="5"/>
        <v>679928</v>
      </c>
    </row>
    <row r="103" spans="1:6" x14ac:dyDescent="0.25">
      <c r="A103" s="168">
        <v>45072</v>
      </c>
      <c r="B103" s="15">
        <f t="shared" si="6"/>
        <v>679928</v>
      </c>
      <c r="C103" s="15">
        <f t="shared" si="4"/>
        <v>175.64806666666667</v>
      </c>
      <c r="D103" s="15"/>
      <c r="E103" s="15"/>
      <c r="F103" s="15">
        <f t="shared" si="5"/>
        <v>679928</v>
      </c>
    </row>
    <row r="104" spans="1:6" x14ac:dyDescent="0.25">
      <c r="A104" s="168">
        <v>45073</v>
      </c>
      <c r="B104" s="15">
        <f t="shared" si="6"/>
        <v>679928</v>
      </c>
      <c r="C104" s="15">
        <f t="shared" si="4"/>
        <v>175.64806666666667</v>
      </c>
      <c r="D104" s="15"/>
      <c r="E104" s="15"/>
      <c r="F104" s="15">
        <f t="shared" si="5"/>
        <v>679928</v>
      </c>
    </row>
    <row r="105" spans="1:6" x14ac:dyDescent="0.25">
      <c r="A105" s="168">
        <v>45074</v>
      </c>
      <c r="B105" s="15">
        <f t="shared" si="6"/>
        <v>679928</v>
      </c>
      <c r="C105" s="15">
        <f t="shared" si="4"/>
        <v>175.64806666666667</v>
      </c>
      <c r="D105" s="15"/>
      <c r="E105" s="15"/>
      <c r="F105" s="15">
        <f t="shared" si="5"/>
        <v>679928</v>
      </c>
    </row>
    <row r="106" spans="1:6" x14ac:dyDescent="0.25">
      <c r="A106" s="168">
        <v>45075</v>
      </c>
      <c r="B106" s="15">
        <f t="shared" si="6"/>
        <v>679928</v>
      </c>
      <c r="C106" s="15">
        <f t="shared" si="4"/>
        <v>175.64806666666667</v>
      </c>
      <c r="D106" s="15"/>
      <c r="E106" s="15"/>
      <c r="F106" s="15">
        <f t="shared" si="5"/>
        <v>679928</v>
      </c>
    </row>
    <row r="107" spans="1:6" x14ac:dyDescent="0.25">
      <c r="A107" s="168">
        <v>45076</v>
      </c>
      <c r="B107" s="15">
        <f t="shared" si="6"/>
        <v>679928</v>
      </c>
      <c r="C107" s="15">
        <f t="shared" si="4"/>
        <v>175.64806666666667</v>
      </c>
      <c r="D107" s="15"/>
      <c r="E107" s="15"/>
      <c r="F107" s="15">
        <f t="shared" si="5"/>
        <v>679928</v>
      </c>
    </row>
    <row r="108" spans="1:6" x14ac:dyDescent="0.25">
      <c r="A108" s="168">
        <v>45077</v>
      </c>
      <c r="B108" s="15">
        <f t="shared" si="6"/>
        <v>679928</v>
      </c>
      <c r="C108" s="15">
        <f t="shared" si="4"/>
        <v>174.21431666666669</v>
      </c>
      <c r="D108" s="15">
        <v>-5550</v>
      </c>
      <c r="E108" s="15"/>
      <c r="F108" s="15">
        <f t="shared" si="5"/>
        <v>674378</v>
      </c>
    </row>
    <row r="109" spans="1:6" x14ac:dyDescent="0.25">
      <c r="A109" s="168">
        <v>45078</v>
      </c>
      <c r="B109" s="15">
        <f t="shared" si="6"/>
        <v>674378</v>
      </c>
      <c r="C109" s="15">
        <f t="shared" si="4"/>
        <v>174.21431666666669</v>
      </c>
      <c r="D109" s="15"/>
      <c r="E109" s="15"/>
      <c r="F109" s="15">
        <f t="shared" si="5"/>
        <v>674378</v>
      </c>
    </row>
    <row r="110" spans="1:6" x14ac:dyDescent="0.25">
      <c r="A110" s="168">
        <v>45079</v>
      </c>
      <c r="B110" s="15">
        <f t="shared" si="6"/>
        <v>674378</v>
      </c>
      <c r="C110" s="15">
        <f t="shared" si="4"/>
        <v>174.21431666666669</v>
      </c>
      <c r="D110" s="15"/>
      <c r="E110" s="15"/>
      <c r="F110" s="15">
        <f t="shared" si="5"/>
        <v>674378</v>
      </c>
    </row>
    <row r="111" spans="1:6" x14ac:dyDescent="0.25">
      <c r="A111" s="168">
        <v>45080</v>
      </c>
      <c r="B111" s="15">
        <f t="shared" si="6"/>
        <v>674378</v>
      </c>
      <c r="C111" s="15">
        <f t="shared" si="4"/>
        <v>174.21431666666669</v>
      </c>
      <c r="D111" s="15"/>
      <c r="E111" s="15"/>
      <c r="F111" s="15">
        <f t="shared" si="5"/>
        <v>674378</v>
      </c>
    </row>
    <row r="112" spans="1:6" x14ac:dyDescent="0.25">
      <c r="A112" s="168">
        <v>45081</v>
      </c>
      <c r="B112" s="15">
        <f t="shared" si="6"/>
        <v>674378</v>
      </c>
      <c r="C112" s="15">
        <f t="shared" si="4"/>
        <v>174.21431666666669</v>
      </c>
      <c r="D112" s="15"/>
      <c r="E112" s="15"/>
      <c r="F112" s="15">
        <f t="shared" si="5"/>
        <v>674378</v>
      </c>
    </row>
    <row r="113" spans="1:6" x14ac:dyDescent="0.25">
      <c r="A113" s="168">
        <v>45082</v>
      </c>
      <c r="B113" s="15">
        <f t="shared" si="6"/>
        <v>674378</v>
      </c>
      <c r="C113" s="15">
        <f t="shared" si="4"/>
        <v>174.21431666666669</v>
      </c>
      <c r="D113" s="15"/>
      <c r="E113" s="15"/>
      <c r="F113" s="15">
        <f t="shared" si="5"/>
        <v>674378</v>
      </c>
    </row>
    <row r="114" spans="1:6" x14ac:dyDescent="0.25">
      <c r="A114" s="168">
        <v>45083</v>
      </c>
      <c r="B114" s="15">
        <f t="shared" si="6"/>
        <v>674378</v>
      </c>
      <c r="C114" s="15">
        <f t="shared" si="4"/>
        <v>174.21431666666669</v>
      </c>
      <c r="D114" s="15"/>
      <c r="E114" s="15"/>
      <c r="F114" s="15">
        <f t="shared" si="5"/>
        <v>674378</v>
      </c>
    </row>
    <row r="115" spans="1:6" x14ac:dyDescent="0.25">
      <c r="A115" s="168">
        <v>45084</v>
      </c>
      <c r="B115" s="15">
        <f t="shared" si="6"/>
        <v>674378</v>
      </c>
      <c r="C115" s="15">
        <f t="shared" si="4"/>
        <v>174.21431666666669</v>
      </c>
      <c r="D115" s="15"/>
      <c r="E115" s="15"/>
      <c r="F115" s="15">
        <f t="shared" si="5"/>
        <v>674378</v>
      </c>
    </row>
    <row r="116" spans="1:6" x14ac:dyDescent="0.25">
      <c r="A116" s="168">
        <v>45085</v>
      </c>
      <c r="B116" s="15">
        <f t="shared" si="6"/>
        <v>674378</v>
      </c>
      <c r="C116" s="15">
        <f t="shared" si="4"/>
        <v>174.21431666666669</v>
      </c>
      <c r="D116" s="15"/>
      <c r="E116" s="15"/>
      <c r="F116" s="15">
        <f t="shared" si="5"/>
        <v>674378</v>
      </c>
    </row>
    <row r="117" spans="1:6" x14ac:dyDescent="0.25">
      <c r="A117" s="168">
        <v>45086</v>
      </c>
      <c r="B117" s="15">
        <f t="shared" si="6"/>
        <v>674378</v>
      </c>
      <c r="C117" s="15">
        <f t="shared" si="4"/>
        <v>174.21431666666669</v>
      </c>
      <c r="D117" s="15"/>
      <c r="E117" s="15"/>
      <c r="F117" s="15">
        <f t="shared" si="5"/>
        <v>674378</v>
      </c>
    </row>
    <row r="118" spans="1:6" x14ac:dyDescent="0.25">
      <c r="A118" s="168">
        <v>45087</v>
      </c>
      <c r="B118" s="15">
        <f t="shared" si="6"/>
        <v>674378</v>
      </c>
      <c r="C118" s="15">
        <f t="shared" si="4"/>
        <v>174.21431666666669</v>
      </c>
      <c r="D118" s="15"/>
      <c r="E118" s="15"/>
      <c r="F118" s="15">
        <f t="shared" si="5"/>
        <v>674378</v>
      </c>
    </row>
    <row r="119" spans="1:6" x14ac:dyDescent="0.25">
      <c r="A119" s="168">
        <v>45088</v>
      </c>
      <c r="B119" s="15">
        <f t="shared" si="6"/>
        <v>674378</v>
      </c>
      <c r="C119" s="15">
        <f t="shared" si="4"/>
        <v>174.21431666666669</v>
      </c>
      <c r="D119" s="15"/>
      <c r="E119" s="15"/>
      <c r="F119" s="15">
        <f t="shared" si="5"/>
        <v>674378</v>
      </c>
    </row>
    <row r="120" spans="1:6" x14ac:dyDescent="0.25">
      <c r="A120" s="168">
        <v>45089</v>
      </c>
      <c r="B120" s="15">
        <f t="shared" si="6"/>
        <v>674378</v>
      </c>
      <c r="C120" s="15">
        <f t="shared" si="4"/>
        <v>174.21431666666669</v>
      </c>
      <c r="D120" s="15"/>
      <c r="E120" s="15"/>
      <c r="F120" s="15">
        <f t="shared" si="5"/>
        <v>674378</v>
      </c>
    </row>
    <row r="121" spans="1:6" x14ac:dyDescent="0.25">
      <c r="A121" s="168">
        <v>45090</v>
      </c>
      <c r="B121" s="15">
        <f t="shared" si="6"/>
        <v>674378</v>
      </c>
      <c r="C121" s="15">
        <f t="shared" si="4"/>
        <v>174.21431666666669</v>
      </c>
      <c r="D121" s="15"/>
      <c r="E121" s="15"/>
      <c r="F121" s="15">
        <f t="shared" si="5"/>
        <v>674378</v>
      </c>
    </row>
    <row r="122" spans="1:6" x14ac:dyDescent="0.25">
      <c r="A122" s="168">
        <v>45091</v>
      </c>
      <c r="B122" s="15">
        <f t="shared" si="6"/>
        <v>674378</v>
      </c>
      <c r="C122" s="15">
        <f t="shared" si="4"/>
        <v>174.21431666666669</v>
      </c>
      <c r="D122" s="15"/>
      <c r="E122" s="15"/>
      <c r="F122" s="15">
        <f t="shared" si="5"/>
        <v>674378</v>
      </c>
    </row>
    <row r="123" spans="1:6" x14ac:dyDescent="0.25">
      <c r="A123" s="168">
        <v>45092</v>
      </c>
      <c r="B123" s="15">
        <f t="shared" si="6"/>
        <v>674378</v>
      </c>
      <c r="C123" s="15">
        <f t="shared" si="4"/>
        <v>174.21431666666669</v>
      </c>
      <c r="D123" s="15"/>
      <c r="E123" s="15"/>
      <c r="F123" s="15">
        <f t="shared" si="5"/>
        <v>674378</v>
      </c>
    </row>
    <row r="124" spans="1:6" x14ac:dyDescent="0.25">
      <c r="A124" s="168">
        <v>45093</v>
      </c>
      <c r="B124" s="15">
        <f t="shared" si="6"/>
        <v>674378</v>
      </c>
      <c r="C124" s="15">
        <f t="shared" si="4"/>
        <v>174.21431666666669</v>
      </c>
      <c r="D124" s="15"/>
      <c r="E124" s="15"/>
      <c r="F124" s="15">
        <f t="shared" si="5"/>
        <v>674378</v>
      </c>
    </row>
    <row r="125" spans="1:6" x14ac:dyDescent="0.25">
      <c r="A125" s="168">
        <v>45094</v>
      </c>
      <c r="B125" s="15">
        <f t="shared" si="6"/>
        <v>674378</v>
      </c>
      <c r="C125" s="15">
        <f t="shared" si="4"/>
        <v>174.21431666666669</v>
      </c>
      <c r="D125" s="15"/>
      <c r="E125" s="15"/>
      <c r="F125" s="15">
        <f t="shared" si="5"/>
        <v>674378</v>
      </c>
    </row>
    <row r="126" spans="1:6" x14ac:dyDescent="0.25">
      <c r="A126" s="168">
        <v>45095</v>
      </c>
      <c r="B126" s="15">
        <f t="shared" si="6"/>
        <v>674378</v>
      </c>
      <c r="C126" s="15">
        <f t="shared" si="4"/>
        <v>174.21431666666669</v>
      </c>
      <c r="D126" s="15"/>
      <c r="E126" s="15"/>
      <c r="F126" s="15">
        <f t="shared" si="5"/>
        <v>674378</v>
      </c>
    </row>
    <row r="127" spans="1:6" x14ac:dyDescent="0.25">
      <c r="A127" s="168">
        <v>45096</v>
      </c>
      <c r="B127" s="15">
        <f t="shared" si="6"/>
        <v>674378</v>
      </c>
      <c r="C127" s="15">
        <f t="shared" si="4"/>
        <v>174.21431666666669</v>
      </c>
      <c r="D127" s="15"/>
      <c r="E127" s="15"/>
      <c r="F127" s="15">
        <f t="shared" si="5"/>
        <v>674378</v>
      </c>
    </row>
    <row r="128" spans="1:6" x14ac:dyDescent="0.25">
      <c r="A128" s="168">
        <v>45097</v>
      </c>
      <c r="B128" s="15">
        <f t="shared" si="6"/>
        <v>674378</v>
      </c>
      <c r="C128" s="15">
        <f t="shared" si="4"/>
        <v>174.21431666666669</v>
      </c>
      <c r="D128" s="15"/>
      <c r="E128" s="15"/>
      <c r="F128" s="15">
        <f t="shared" si="5"/>
        <v>674378</v>
      </c>
    </row>
    <row r="129" spans="1:6" x14ac:dyDescent="0.25">
      <c r="A129" s="168">
        <v>45098</v>
      </c>
      <c r="B129" s="15">
        <f t="shared" si="6"/>
        <v>674378</v>
      </c>
      <c r="C129" s="15">
        <f t="shared" si="4"/>
        <v>174.21431666666669</v>
      </c>
      <c r="D129" s="15"/>
      <c r="E129" s="15"/>
      <c r="F129" s="15">
        <f t="shared" si="5"/>
        <v>674378</v>
      </c>
    </row>
    <row r="130" spans="1:6" x14ac:dyDescent="0.25">
      <c r="A130" s="168">
        <v>45099</v>
      </c>
      <c r="B130" s="15">
        <f t="shared" si="6"/>
        <v>674378</v>
      </c>
      <c r="C130" s="15">
        <f t="shared" si="4"/>
        <v>174.21431666666669</v>
      </c>
      <c r="D130" s="15"/>
      <c r="E130" s="15"/>
      <c r="F130" s="15">
        <f t="shared" si="5"/>
        <v>674378</v>
      </c>
    </row>
    <row r="131" spans="1:6" x14ac:dyDescent="0.25">
      <c r="A131" s="168">
        <v>45100</v>
      </c>
      <c r="B131" s="15">
        <f t="shared" si="6"/>
        <v>674378</v>
      </c>
      <c r="C131" s="15">
        <f t="shared" si="4"/>
        <v>174.21431666666669</v>
      </c>
      <c r="D131" s="15"/>
      <c r="E131" s="15"/>
      <c r="F131" s="15">
        <f t="shared" si="5"/>
        <v>674378</v>
      </c>
    </row>
    <row r="132" spans="1:6" x14ac:dyDescent="0.25">
      <c r="A132" s="168">
        <v>45101</v>
      </c>
      <c r="B132" s="15">
        <f t="shared" si="6"/>
        <v>674378</v>
      </c>
      <c r="C132" s="15">
        <f t="shared" ref="C132:C169" si="7">(F132)*$C$1/36000</f>
        <v>174.21431666666669</v>
      </c>
      <c r="D132" s="15"/>
      <c r="E132" s="15"/>
      <c r="F132" s="15">
        <f t="shared" ref="F132:F169" si="8">B132+D132+E132</f>
        <v>674378</v>
      </c>
    </row>
    <row r="133" spans="1:6" x14ac:dyDescent="0.25">
      <c r="A133" s="168">
        <v>45102</v>
      </c>
      <c r="B133" s="15">
        <f t="shared" si="6"/>
        <v>674378</v>
      </c>
      <c r="C133" s="15">
        <f t="shared" si="7"/>
        <v>174.21431666666669</v>
      </c>
      <c r="D133" s="15"/>
      <c r="E133" s="15"/>
      <c r="F133" s="15">
        <f t="shared" si="8"/>
        <v>674378</v>
      </c>
    </row>
    <row r="134" spans="1:6" x14ac:dyDescent="0.25">
      <c r="A134" s="168">
        <v>45103</v>
      </c>
      <c r="B134" s="15">
        <f t="shared" si="6"/>
        <v>674378</v>
      </c>
      <c r="C134" s="15">
        <f t="shared" si="7"/>
        <v>174.21431666666669</v>
      </c>
      <c r="D134" s="15"/>
      <c r="E134" s="15"/>
      <c r="F134" s="15">
        <f t="shared" si="8"/>
        <v>674378</v>
      </c>
    </row>
    <row r="135" spans="1:6" x14ac:dyDescent="0.25">
      <c r="A135" s="168">
        <v>45104</v>
      </c>
      <c r="B135" s="15">
        <f t="shared" si="6"/>
        <v>674378</v>
      </c>
      <c r="C135" s="15">
        <f t="shared" si="7"/>
        <v>174.21431666666669</v>
      </c>
      <c r="D135" s="15"/>
      <c r="E135" s="15"/>
      <c r="F135" s="15">
        <f t="shared" si="8"/>
        <v>674378</v>
      </c>
    </row>
    <row r="136" spans="1:6" x14ac:dyDescent="0.25">
      <c r="A136" s="168">
        <v>45105</v>
      </c>
      <c r="B136" s="15">
        <f t="shared" si="6"/>
        <v>674378</v>
      </c>
      <c r="C136" s="15">
        <f t="shared" si="7"/>
        <v>174.21431666666669</v>
      </c>
      <c r="D136" s="15"/>
      <c r="E136" s="15"/>
      <c r="F136" s="15">
        <f t="shared" si="8"/>
        <v>674378</v>
      </c>
    </row>
    <row r="137" spans="1:6" x14ac:dyDescent="0.25">
      <c r="A137" s="168">
        <v>45106</v>
      </c>
      <c r="B137" s="15">
        <f t="shared" si="6"/>
        <v>674378</v>
      </c>
      <c r="C137" s="15">
        <f t="shared" si="7"/>
        <v>174.21431666666669</v>
      </c>
      <c r="D137" s="15"/>
      <c r="E137" s="15"/>
      <c r="F137" s="15">
        <f t="shared" si="8"/>
        <v>674378</v>
      </c>
    </row>
    <row r="138" spans="1:6" x14ac:dyDescent="0.25">
      <c r="A138" s="168">
        <v>45107</v>
      </c>
      <c r="B138" s="15">
        <f t="shared" si="6"/>
        <v>674378</v>
      </c>
      <c r="C138" s="15">
        <f t="shared" si="7"/>
        <v>174.21431666666669</v>
      </c>
      <c r="D138" s="15"/>
      <c r="E138" s="15"/>
      <c r="F138" s="15">
        <f t="shared" si="8"/>
        <v>674378</v>
      </c>
    </row>
    <row r="139" spans="1:6" x14ac:dyDescent="0.25">
      <c r="A139" s="168">
        <v>45108</v>
      </c>
      <c r="B139" s="15">
        <f t="shared" si="6"/>
        <v>674378</v>
      </c>
      <c r="C139" s="15">
        <f t="shared" si="7"/>
        <v>174.21431666666669</v>
      </c>
      <c r="D139" s="15"/>
      <c r="E139" s="15"/>
      <c r="F139" s="15">
        <f t="shared" si="8"/>
        <v>674378</v>
      </c>
    </row>
    <row r="140" spans="1:6" x14ac:dyDescent="0.25">
      <c r="A140" s="168">
        <v>45109</v>
      </c>
      <c r="B140" s="15">
        <f t="shared" si="6"/>
        <v>674378</v>
      </c>
      <c r="C140" s="15">
        <f t="shared" si="7"/>
        <v>174.21431666666669</v>
      </c>
      <c r="D140" s="15"/>
      <c r="E140" s="15"/>
      <c r="F140" s="15">
        <f t="shared" si="8"/>
        <v>674378</v>
      </c>
    </row>
    <row r="141" spans="1:6" x14ac:dyDescent="0.25">
      <c r="A141" s="168">
        <v>45110</v>
      </c>
      <c r="B141" s="15">
        <f t="shared" si="6"/>
        <v>674378</v>
      </c>
      <c r="C141" s="15">
        <f t="shared" si="7"/>
        <v>174.21431666666669</v>
      </c>
      <c r="D141" s="15"/>
      <c r="E141" s="15"/>
      <c r="F141" s="15">
        <f t="shared" si="8"/>
        <v>674378</v>
      </c>
    </row>
    <row r="142" spans="1:6" x14ac:dyDescent="0.25">
      <c r="A142" s="168">
        <v>45111</v>
      </c>
      <c r="B142" s="15">
        <f t="shared" si="6"/>
        <v>674378</v>
      </c>
      <c r="C142" s="15">
        <f t="shared" si="7"/>
        <v>174.21431666666669</v>
      </c>
      <c r="D142" s="15"/>
      <c r="E142" s="15"/>
      <c r="F142" s="15">
        <f t="shared" si="8"/>
        <v>674378</v>
      </c>
    </row>
    <row r="143" spans="1:6" x14ac:dyDescent="0.25">
      <c r="A143" s="168">
        <v>45112</v>
      </c>
      <c r="B143" s="15">
        <f t="shared" si="6"/>
        <v>674378</v>
      </c>
      <c r="C143" s="15">
        <f t="shared" si="7"/>
        <v>174.21431666666669</v>
      </c>
      <c r="D143" s="15"/>
      <c r="E143" s="15"/>
      <c r="F143" s="15">
        <f t="shared" si="8"/>
        <v>674378</v>
      </c>
    </row>
    <row r="144" spans="1:6" x14ac:dyDescent="0.25">
      <c r="A144" s="168">
        <v>45113</v>
      </c>
      <c r="B144" s="15">
        <f t="shared" si="6"/>
        <v>674378</v>
      </c>
      <c r="C144" s="15">
        <f t="shared" si="7"/>
        <v>174.21431666666669</v>
      </c>
      <c r="D144" s="15"/>
      <c r="E144" s="15"/>
      <c r="F144" s="15">
        <f t="shared" si="8"/>
        <v>674378</v>
      </c>
    </row>
    <row r="145" spans="1:6" x14ac:dyDescent="0.25">
      <c r="A145" s="168">
        <v>45114</v>
      </c>
      <c r="B145" s="15">
        <f t="shared" si="6"/>
        <v>674378</v>
      </c>
      <c r="C145" s="15">
        <f t="shared" si="7"/>
        <v>174.21431666666669</v>
      </c>
      <c r="D145" s="15"/>
      <c r="E145" s="15"/>
      <c r="F145" s="15">
        <f t="shared" si="8"/>
        <v>674378</v>
      </c>
    </row>
    <row r="146" spans="1:6" x14ac:dyDescent="0.25">
      <c r="A146" s="168">
        <v>45115</v>
      </c>
      <c r="B146" s="15">
        <f t="shared" si="6"/>
        <v>674378</v>
      </c>
      <c r="C146" s="15">
        <f t="shared" si="7"/>
        <v>174.21431666666669</v>
      </c>
      <c r="D146" s="15"/>
      <c r="E146" s="15"/>
      <c r="F146" s="15">
        <f t="shared" si="8"/>
        <v>674378</v>
      </c>
    </row>
    <row r="147" spans="1:6" x14ac:dyDescent="0.25">
      <c r="A147" s="168">
        <v>45116</v>
      </c>
      <c r="B147" s="15">
        <f t="shared" si="6"/>
        <v>674378</v>
      </c>
      <c r="C147" s="15">
        <f t="shared" si="7"/>
        <v>174.21431666666669</v>
      </c>
      <c r="D147" s="15"/>
      <c r="E147" s="15"/>
      <c r="F147" s="15">
        <f t="shared" si="8"/>
        <v>674378</v>
      </c>
    </row>
    <row r="148" spans="1:6" x14ac:dyDescent="0.25">
      <c r="A148" s="168">
        <v>45117</v>
      </c>
      <c r="B148" s="15">
        <f t="shared" si="6"/>
        <v>674378</v>
      </c>
      <c r="C148" s="15">
        <f t="shared" si="7"/>
        <v>174.21431666666669</v>
      </c>
      <c r="D148" s="15"/>
      <c r="E148" s="15"/>
      <c r="F148" s="15">
        <f t="shared" si="8"/>
        <v>674378</v>
      </c>
    </row>
    <row r="149" spans="1:6" x14ac:dyDescent="0.25">
      <c r="A149" s="168">
        <v>45118</v>
      </c>
      <c r="B149" s="15">
        <f t="shared" si="6"/>
        <v>674378</v>
      </c>
      <c r="C149" s="15">
        <f t="shared" si="7"/>
        <v>174.21431666666669</v>
      </c>
      <c r="D149" s="15"/>
      <c r="E149" s="15"/>
      <c r="F149" s="15">
        <f t="shared" si="8"/>
        <v>674378</v>
      </c>
    </row>
    <row r="150" spans="1:6" x14ac:dyDescent="0.25">
      <c r="A150" s="168">
        <v>45119</v>
      </c>
      <c r="B150" s="15">
        <f t="shared" si="6"/>
        <v>674378</v>
      </c>
      <c r="C150" s="15">
        <f t="shared" si="7"/>
        <v>174.21431666666669</v>
      </c>
      <c r="D150" s="15"/>
      <c r="E150" s="15"/>
      <c r="F150" s="15">
        <f t="shared" si="8"/>
        <v>674378</v>
      </c>
    </row>
    <row r="151" spans="1:6" x14ac:dyDescent="0.25">
      <c r="A151" s="168">
        <v>45120</v>
      </c>
      <c r="B151" s="15">
        <f t="shared" si="6"/>
        <v>674378</v>
      </c>
      <c r="C151" s="15">
        <f t="shared" si="7"/>
        <v>174.21431666666669</v>
      </c>
      <c r="D151" s="15"/>
      <c r="E151" s="15"/>
      <c r="F151" s="15">
        <f t="shared" si="8"/>
        <v>674378</v>
      </c>
    </row>
    <row r="152" spans="1:6" x14ac:dyDescent="0.25">
      <c r="A152" s="168">
        <v>45121</v>
      </c>
      <c r="B152" s="15">
        <f t="shared" si="6"/>
        <v>674378</v>
      </c>
      <c r="C152" s="15">
        <f t="shared" si="7"/>
        <v>174.21431666666669</v>
      </c>
      <c r="D152" s="15"/>
      <c r="E152" s="15"/>
      <c r="F152" s="15">
        <f t="shared" si="8"/>
        <v>674378</v>
      </c>
    </row>
    <row r="153" spans="1:6" x14ac:dyDescent="0.25">
      <c r="A153" s="168">
        <v>45122</v>
      </c>
      <c r="B153" s="15">
        <f t="shared" si="6"/>
        <v>674378</v>
      </c>
      <c r="C153" s="15">
        <f t="shared" si="7"/>
        <v>174.21431666666669</v>
      </c>
      <c r="D153" s="15"/>
      <c r="E153" s="15"/>
      <c r="F153" s="15">
        <f t="shared" si="8"/>
        <v>674378</v>
      </c>
    </row>
    <row r="154" spans="1:6" x14ac:dyDescent="0.25">
      <c r="A154" s="168">
        <v>45123</v>
      </c>
      <c r="B154" s="15">
        <f t="shared" si="6"/>
        <v>674378</v>
      </c>
      <c r="C154" s="15">
        <f t="shared" si="7"/>
        <v>174.21431666666669</v>
      </c>
      <c r="D154" s="15"/>
      <c r="E154" s="15"/>
      <c r="F154" s="15">
        <f t="shared" si="8"/>
        <v>674378</v>
      </c>
    </row>
    <row r="155" spans="1:6" x14ac:dyDescent="0.25">
      <c r="A155" s="168">
        <v>45124</v>
      </c>
      <c r="B155" s="15">
        <f t="shared" si="6"/>
        <v>674378</v>
      </c>
      <c r="C155" s="15">
        <f t="shared" si="7"/>
        <v>174.21431666666669</v>
      </c>
      <c r="D155" s="15"/>
      <c r="E155" s="15"/>
      <c r="F155" s="15">
        <f t="shared" si="8"/>
        <v>674378</v>
      </c>
    </row>
    <row r="156" spans="1:6" x14ac:dyDescent="0.25">
      <c r="A156" s="168">
        <v>45125</v>
      </c>
      <c r="B156" s="15">
        <f t="shared" si="6"/>
        <v>674378</v>
      </c>
      <c r="C156" s="15">
        <f t="shared" si="7"/>
        <v>174.21431666666669</v>
      </c>
      <c r="D156" s="15"/>
      <c r="E156" s="15"/>
      <c r="F156" s="15">
        <f t="shared" si="8"/>
        <v>674378</v>
      </c>
    </row>
    <row r="157" spans="1:6" x14ac:dyDescent="0.25">
      <c r="A157" s="168">
        <v>45126</v>
      </c>
      <c r="B157" s="15">
        <f t="shared" si="6"/>
        <v>674378</v>
      </c>
      <c r="C157" s="15">
        <f t="shared" si="7"/>
        <v>174.21431666666669</v>
      </c>
      <c r="D157" s="15"/>
      <c r="E157" s="15"/>
      <c r="F157" s="15">
        <f t="shared" si="8"/>
        <v>674378</v>
      </c>
    </row>
    <row r="158" spans="1:6" x14ac:dyDescent="0.25">
      <c r="A158" s="168">
        <v>45127</v>
      </c>
      <c r="B158" s="15">
        <f t="shared" si="6"/>
        <v>674378</v>
      </c>
      <c r="C158" s="15">
        <f t="shared" si="7"/>
        <v>174.21431666666669</v>
      </c>
      <c r="D158" s="15"/>
      <c r="E158" s="15"/>
      <c r="F158" s="15">
        <f t="shared" si="8"/>
        <v>674378</v>
      </c>
    </row>
    <row r="159" spans="1:6" x14ac:dyDescent="0.25">
      <c r="A159" s="168">
        <v>45128</v>
      </c>
      <c r="B159" s="15">
        <f t="shared" si="6"/>
        <v>674378</v>
      </c>
      <c r="C159" s="15">
        <f t="shared" si="7"/>
        <v>174.21431666666669</v>
      </c>
      <c r="D159" s="15"/>
      <c r="E159" s="15"/>
      <c r="F159" s="15">
        <f t="shared" si="8"/>
        <v>674378</v>
      </c>
    </row>
    <row r="160" spans="1:6" x14ac:dyDescent="0.25">
      <c r="A160" s="168">
        <v>45129</v>
      </c>
      <c r="B160" s="15">
        <f t="shared" ref="B160:B169" si="9">B159+D159+E159</f>
        <v>674378</v>
      </c>
      <c r="C160" s="15">
        <f t="shared" si="7"/>
        <v>174.21431666666669</v>
      </c>
      <c r="D160" s="15"/>
      <c r="E160" s="15"/>
      <c r="F160" s="15">
        <f t="shared" si="8"/>
        <v>674378</v>
      </c>
    </row>
    <row r="161" spans="1:6" x14ac:dyDescent="0.25">
      <c r="A161" s="168">
        <v>45130</v>
      </c>
      <c r="B161" s="15">
        <f t="shared" si="9"/>
        <v>674378</v>
      </c>
      <c r="C161" s="15">
        <f t="shared" si="7"/>
        <v>174.21431666666669</v>
      </c>
      <c r="D161" s="15"/>
      <c r="E161" s="15"/>
      <c r="F161" s="15">
        <f t="shared" si="8"/>
        <v>674378</v>
      </c>
    </row>
    <row r="162" spans="1:6" x14ac:dyDescent="0.25">
      <c r="A162" s="168">
        <v>45131</v>
      </c>
      <c r="B162" s="15">
        <f t="shared" si="9"/>
        <v>674378</v>
      </c>
      <c r="C162" s="15">
        <f t="shared" si="7"/>
        <v>174.21431666666669</v>
      </c>
      <c r="D162" s="15"/>
      <c r="E162" s="15"/>
      <c r="F162" s="15">
        <f t="shared" si="8"/>
        <v>674378</v>
      </c>
    </row>
    <row r="163" spans="1:6" x14ac:dyDescent="0.25">
      <c r="A163" s="168">
        <v>45132</v>
      </c>
      <c r="B163" s="15">
        <f t="shared" si="9"/>
        <v>674378</v>
      </c>
      <c r="C163" s="15">
        <f t="shared" si="7"/>
        <v>174.21431666666669</v>
      </c>
      <c r="D163" s="15"/>
      <c r="E163" s="15"/>
      <c r="F163" s="15">
        <f t="shared" si="8"/>
        <v>674378</v>
      </c>
    </row>
    <row r="164" spans="1:6" x14ac:dyDescent="0.25">
      <c r="A164" s="168">
        <v>45133</v>
      </c>
      <c r="B164" s="15">
        <f t="shared" si="9"/>
        <v>674378</v>
      </c>
      <c r="C164" s="15">
        <f t="shared" si="7"/>
        <v>174.21431666666669</v>
      </c>
      <c r="D164" s="15"/>
      <c r="E164" s="15"/>
      <c r="F164" s="15">
        <f t="shared" si="8"/>
        <v>674378</v>
      </c>
    </row>
    <row r="165" spans="1:6" x14ac:dyDescent="0.25">
      <c r="A165" s="168">
        <v>45134</v>
      </c>
      <c r="B165" s="15">
        <f t="shared" si="9"/>
        <v>674378</v>
      </c>
      <c r="C165" s="15">
        <f t="shared" si="7"/>
        <v>174.21431666666669</v>
      </c>
      <c r="D165" s="15"/>
      <c r="E165" s="15"/>
      <c r="F165" s="15">
        <f t="shared" si="8"/>
        <v>674378</v>
      </c>
    </row>
    <row r="166" spans="1:6" x14ac:dyDescent="0.25">
      <c r="A166" s="168">
        <v>45135</v>
      </c>
      <c r="B166" s="15">
        <f t="shared" si="9"/>
        <v>674378</v>
      </c>
      <c r="C166" s="15">
        <f t="shared" si="7"/>
        <v>174.21431666666669</v>
      </c>
      <c r="D166" s="15"/>
      <c r="E166" s="15"/>
      <c r="F166" s="15">
        <f t="shared" si="8"/>
        <v>674378</v>
      </c>
    </row>
    <row r="167" spans="1:6" x14ac:dyDescent="0.25">
      <c r="A167" s="168">
        <v>45136</v>
      </c>
      <c r="B167" s="15">
        <f t="shared" si="9"/>
        <v>674378</v>
      </c>
      <c r="C167" s="15">
        <f t="shared" si="7"/>
        <v>174.21431666666669</v>
      </c>
      <c r="D167" s="15"/>
      <c r="E167" s="15"/>
      <c r="F167" s="15">
        <f t="shared" si="8"/>
        <v>674378</v>
      </c>
    </row>
    <row r="168" spans="1:6" x14ac:dyDescent="0.25">
      <c r="A168" s="168">
        <v>45137</v>
      </c>
      <c r="B168" s="15">
        <f t="shared" si="9"/>
        <v>674378</v>
      </c>
      <c r="C168" s="15">
        <f t="shared" si="7"/>
        <v>174.21431666666669</v>
      </c>
      <c r="D168" s="15"/>
      <c r="E168" s="15"/>
      <c r="F168" s="15">
        <f t="shared" si="8"/>
        <v>674378</v>
      </c>
    </row>
    <row r="169" spans="1:6" x14ac:dyDescent="0.25">
      <c r="A169" s="168">
        <v>45138</v>
      </c>
      <c r="B169" s="15">
        <f t="shared" si="9"/>
        <v>674378</v>
      </c>
      <c r="C169" s="15">
        <f t="shared" si="7"/>
        <v>174.21431666666669</v>
      </c>
      <c r="D169" s="15"/>
      <c r="E169" s="15"/>
      <c r="F169" s="15">
        <f t="shared" si="8"/>
        <v>674378</v>
      </c>
    </row>
  </sheetData>
  <mergeCells count="1">
    <mergeCell ref="A1:B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04C9-DF2F-4298-BA56-4741F3377DF5}">
  <dimension ref="A1:N169"/>
  <sheetViews>
    <sheetView workbookViewId="0">
      <selection activeCell="C79" sqref="C79"/>
    </sheetView>
  </sheetViews>
  <sheetFormatPr defaultRowHeight="15" x14ac:dyDescent="0.25"/>
  <cols>
    <col min="1" max="1" width="10.140625" bestFit="1" customWidth="1"/>
    <col min="2" max="6" width="11.7109375" customWidth="1"/>
    <col min="8" max="8" width="9.5703125" bestFit="1" customWidth="1"/>
  </cols>
  <sheetData>
    <row r="1" spans="1:14" x14ac:dyDescent="0.25">
      <c r="A1" s="643" t="s">
        <v>743</v>
      </c>
      <c r="B1" s="643"/>
      <c r="C1">
        <v>8.65</v>
      </c>
    </row>
    <row r="2" spans="1:14" x14ac:dyDescent="0.25">
      <c r="A2" s="17" t="s">
        <v>1</v>
      </c>
      <c r="B2" s="17" t="s">
        <v>352</v>
      </c>
      <c r="C2" s="17" t="s">
        <v>17</v>
      </c>
      <c r="D2" s="17" t="s">
        <v>740</v>
      </c>
      <c r="E2" s="17" t="s">
        <v>741</v>
      </c>
      <c r="F2" s="17" t="s">
        <v>0</v>
      </c>
    </row>
    <row r="3" spans="1:14" x14ac:dyDescent="0.25">
      <c r="A3" s="168">
        <v>44972</v>
      </c>
      <c r="B3" s="15">
        <v>500000</v>
      </c>
      <c r="C3" s="15">
        <f>F3*$C$1/36000</f>
        <v>120.13888888888889</v>
      </c>
      <c r="D3" s="15"/>
      <c r="E3" s="15"/>
      <c r="F3" s="15">
        <f>B3+D3+E3</f>
        <v>500000</v>
      </c>
    </row>
    <row r="4" spans="1:14" x14ac:dyDescent="0.25">
      <c r="A4" s="168">
        <v>44973</v>
      </c>
      <c r="B4" s="15">
        <f>F3</f>
        <v>500000</v>
      </c>
      <c r="C4" s="15">
        <f t="shared" ref="C4:C67" si="0">F4*$C$1/36000</f>
        <v>120.13888888888889</v>
      </c>
      <c r="D4" s="15"/>
      <c r="E4" s="15"/>
      <c r="F4" s="15">
        <f t="shared" ref="F4:F67" si="1">B4+D4+E4</f>
        <v>500000</v>
      </c>
      <c r="L4">
        <v>688000</v>
      </c>
      <c r="M4">
        <f>L4*9.3/1200</f>
        <v>5332.0000000000009</v>
      </c>
      <c r="N4">
        <f>M4/30</f>
        <v>177.73333333333338</v>
      </c>
    </row>
    <row r="5" spans="1:14" x14ac:dyDescent="0.25">
      <c r="A5" s="168">
        <v>44974</v>
      </c>
      <c r="B5" s="15">
        <f t="shared" ref="B5:B68" si="2">F4</f>
        <v>500000</v>
      </c>
      <c r="C5" s="15">
        <f t="shared" si="0"/>
        <v>120.13888888888889</v>
      </c>
      <c r="D5" s="15"/>
      <c r="E5" s="15"/>
      <c r="F5" s="15">
        <f t="shared" si="1"/>
        <v>500000</v>
      </c>
      <c r="L5">
        <v>688000</v>
      </c>
      <c r="M5">
        <f>L5*9.3/1200</f>
        <v>5332.0000000000009</v>
      </c>
    </row>
    <row r="6" spans="1:14" x14ac:dyDescent="0.25">
      <c r="A6" s="168">
        <v>44975</v>
      </c>
      <c r="B6" s="15">
        <f t="shared" si="2"/>
        <v>500000</v>
      </c>
      <c r="C6" s="15">
        <f t="shared" si="0"/>
        <v>120.13888888888889</v>
      </c>
      <c r="D6" s="15"/>
      <c r="E6" s="15"/>
      <c r="F6" s="15">
        <f t="shared" si="1"/>
        <v>500000</v>
      </c>
    </row>
    <row r="7" spans="1:14" x14ac:dyDescent="0.25">
      <c r="A7" s="168">
        <v>44976</v>
      </c>
      <c r="B7" s="15">
        <f t="shared" si="2"/>
        <v>500000</v>
      </c>
      <c r="C7" s="15">
        <f t="shared" si="0"/>
        <v>120.13888888888889</v>
      </c>
      <c r="D7" s="15"/>
      <c r="E7" s="15"/>
      <c r="F7" s="15">
        <f t="shared" si="1"/>
        <v>500000</v>
      </c>
    </row>
    <row r="8" spans="1:14" x14ac:dyDescent="0.25">
      <c r="A8" s="168">
        <v>44977</v>
      </c>
      <c r="B8" s="15">
        <f t="shared" si="2"/>
        <v>500000</v>
      </c>
      <c r="C8" s="15">
        <f t="shared" si="0"/>
        <v>120.13888888888889</v>
      </c>
      <c r="D8" s="15"/>
      <c r="E8" s="15"/>
      <c r="F8" s="15">
        <f t="shared" si="1"/>
        <v>500000</v>
      </c>
    </row>
    <row r="9" spans="1:14" x14ac:dyDescent="0.25">
      <c r="A9" s="168">
        <v>44978</v>
      </c>
      <c r="B9" s="15">
        <f t="shared" si="2"/>
        <v>500000</v>
      </c>
      <c r="C9" s="15">
        <f t="shared" si="0"/>
        <v>120.13888888888889</v>
      </c>
      <c r="D9" s="15"/>
      <c r="E9" s="15"/>
      <c r="F9" s="15">
        <f t="shared" si="1"/>
        <v>500000</v>
      </c>
    </row>
    <row r="10" spans="1:14" x14ac:dyDescent="0.25">
      <c r="A10" s="168">
        <v>44979</v>
      </c>
      <c r="B10" s="15">
        <f t="shared" si="2"/>
        <v>500000</v>
      </c>
      <c r="C10" s="15">
        <f t="shared" si="0"/>
        <v>120.13888888888889</v>
      </c>
      <c r="D10" s="15"/>
      <c r="E10" s="15"/>
      <c r="F10" s="15">
        <f t="shared" si="1"/>
        <v>500000</v>
      </c>
    </row>
    <row r="11" spans="1:14" x14ac:dyDescent="0.25">
      <c r="A11" s="168">
        <v>44980</v>
      </c>
      <c r="B11" s="15">
        <f t="shared" si="2"/>
        <v>500000</v>
      </c>
      <c r="C11" s="15">
        <f t="shared" si="0"/>
        <v>120.13888888888889</v>
      </c>
      <c r="D11" s="15"/>
      <c r="E11" s="15"/>
      <c r="F11" s="15">
        <f t="shared" si="1"/>
        <v>500000</v>
      </c>
    </row>
    <row r="12" spans="1:14" x14ac:dyDescent="0.25">
      <c r="A12" s="168">
        <v>44981</v>
      </c>
      <c r="B12" s="15">
        <f t="shared" si="2"/>
        <v>500000</v>
      </c>
      <c r="C12" s="15">
        <f t="shared" si="0"/>
        <v>120.13888888888889</v>
      </c>
      <c r="D12" s="15"/>
      <c r="E12" s="15"/>
      <c r="F12" s="15">
        <f t="shared" si="1"/>
        <v>500000</v>
      </c>
    </row>
    <row r="13" spans="1:14" x14ac:dyDescent="0.25">
      <c r="A13" s="168">
        <v>44982</v>
      </c>
      <c r="B13" s="15">
        <f t="shared" si="2"/>
        <v>500000</v>
      </c>
      <c r="C13" s="15">
        <f t="shared" si="0"/>
        <v>120.13888888888889</v>
      </c>
      <c r="D13" s="15"/>
      <c r="E13" s="15"/>
      <c r="F13" s="15">
        <f t="shared" si="1"/>
        <v>500000</v>
      </c>
    </row>
    <row r="14" spans="1:14" x14ac:dyDescent="0.25">
      <c r="A14" s="168">
        <v>44983</v>
      </c>
      <c r="B14" s="15">
        <f t="shared" si="2"/>
        <v>500000</v>
      </c>
      <c r="C14" s="15">
        <f t="shared" si="0"/>
        <v>120.13888888888889</v>
      </c>
      <c r="D14" s="15"/>
      <c r="E14" s="15"/>
      <c r="F14" s="15">
        <f t="shared" si="1"/>
        <v>500000</v>
      </c>
    </row>
    <row r="15" spans="1:14" x14ac:dyDescent="0.25">
      <c r="A15" s="168">
        <v>44984</v>
      </c>
      <c r="B15" s="15">
        <f t="shared" si="2"/>
        <v>500000</v>
      </c>
      <c r="C15" s="15">
        <f t="shared" si="0"/>
        <v>120.13888888888889</v>
      </c>
      <c r="D15" s="15"/>
      <c r="E15" s="15"/>
      <c r="F15" s="15">
        <f t="shared" si="1"/>
        <v>500000</v>
      </c>
    </row>
    <row r="16" spans="1:14" x14ac:dyDescent="0.25">
      <c r="A16" s="168">
        <v>44985</v>
      </c>
      <c r="B16" s="15">
        <f t="shared" si="2"/>
        <v>500000</v>
      </c>
      <c r="C16" s="15">
        <f t="shared" si="0"/>
        <v>120.13888888888889</v>
      </c>
      <c r="D16" s="15"/>
      <c r="E16" s="15"/>
      <c r="F16" s="15">
        <f t="shared" si="1"/>
        <v>500000</v>
      </c>
    </row>
    <row r="17" spans="1:8" x14ac:dyDescent="0.25">
      <c r="A17" s="168">
        <v>44986</v>
      </c>
      <c r="B17" s="15">
        <f t="shared" si="2"/>
        <v>500000</v>
      </c>
      <c r="C17" s="15">
        <f t="shared" si="0"/>
        <v>120.13888888888889</v>
      </c>
      <c r="D17" s="15"/>
      <c r="E17" s="15"/>
      <c r="F17" s="15">
        <f t="shared" si="1"/>
        <v>500000</v>
      </c>
    </row>
    <row r="18" spans="1:8" x14ac:dyDescent="0.25">
      <c r="A18" s="168">
        <v>44987</v>
      </c>
      <c r="B18" s="15">
        <f t="shared" si="2"/>
        <v>500000</v>
      </c>
      <c r="C18" s="15">
        <f t="shared" si="0"/>
        <v>119.65833333333333</v>
      </c>
      <c r="D18" s="15">
        <v>-2000</v>
      </c>
      <c r="E18" s="15"/>
      <c r="F18" s="15">
        <f t="shared" si="1"/>
        <v>498000</v>
      </c>
      <c r="H18" s="11"/>
    </row>
    <row r="19" spans="1:8" x14ac:dyDescent="0.25">
      <c r="A19" s="168">
        <v>44988</v>
      </c>
      <c r="B19" s="15">
        <f t="shared" si="2"/>
        <v>498000</v>
      </c>
      <c r="C19" s="15">
        <f t="shared" si="0"/>
        <v>119.65833333333333</v>
      </c>
      <c r="D19" s="15"/>
      <c r="E19" s="15"/>
      <c r="F19" s="15">
        <f t="shared" si="1"/>
        <v>498000</v>
      </c>
      <c r="H19" s="11"/>
    </row>
    <row r="20" spans="1:8" x14ac:dyDescent="0.25">
      <c r="A20" s="168">
        <v>44989</v>
      </c>
      <c r="B20" s="15">
        <f t="shared" si="2"/>
        <v>498000</v>
      </c>
      <c r="C20" s="15">
        <f t="shared" si="0"/>
        <v>119.65833333333333</v>
      </c>
      <c r="D20" s="15"/>
      <c r="E20" s="15"/>
      <c r="F20" s="15">
        <f t="shared" si="1"/>
        <v>498000</v>
      </c>
      <c r="H20" s="11"/>
    </row>
    <row r="21" spans="1:8" x14ac:dyDescent="0.25">
      <c r="A21" s="168">
        <v>44990</v>
      </c>
      <c r="B21" s="15">
        <f t="shared" si="2"/>
        <v>498000</v>
      </c>
      <c r="C21" s="15">
        <f t="shared" si="0"/>
        <v>119.65833333333333</v>
      </c>
      <c r="D21" s="15"/>
      <c r="E21" s="15"/>
      <c r="F21" s="15">
        <f t="shared" si="1"/>
        <v>498000</v>
      </c>
      <c r="H21" s="11"/>
    </row>
    <row r="22" spans="1:8" x14ac:dyDescent="0.25">
      <c r="A22" s="168">
        <v>44991</v>
      </c>
      <c r="B22" s="15">
        <f t="shared" si="2"/>
        <v>498000</v>
      </c>
      <c r="C22" s="15">
        <f t="shared" si="0"/>
        <v>119.65833333333333</v>
      </c>
      <c r="D22" s="15"/>
      <c r="E22" s="15"/>
      <c r="F22" s="15">
        <f t="shared" si="1"/>
        <v>498000</v>
      </c>
      <c r="H22" s="11"/>
    </row>
    <row r="23" spans="1:8" x14ac:dyDescent="0.25">
      <c r="A23" s="168">
        <v>44992</v>
      </c>
      <c r="B23" s="15">
        <f t="shared" si="2"/>
        <v>498000</v>
      </c>
      <c r="C23" s="15">
        <f t="shared" si="0"/>
        <v>119.65833333333333</v>
      </c>
      <c r="D23" s="15"/>
      <c r="E23" s="15"/>
      <c r="F23" s="15">
        <f t="shared" si="1"/>
        <v>498000</v>
      </c>
      <c r="H23" s="11"/>
    </row>
    <row r="24" spans="1:8" x14ac:dyDescent="0.25">
      <c r="A24" s="168">
        <v>44993</v>
      </c>
      <c r="B24" s="15">
        <f t="shared" si="2"/>
        <v>498000</v>
      </c>
      <c r="C24" s="15">
        <f t="shared" si="0"/>
        <v>119.65833333333333</v>
      </c>
      <c r="D24" s="15"/>
      <c r="E24" s="15"/>
      <c r="F24" s="15">
        <f t="shared" si="1"/>
        <v>498000</v>
      </c>
      <c r="H24" s="11"/>
    </row>
    <row r="25" spans="1:8" x14ac:dyDescent="0.25">
      <c r="A25" s="168">
        <v>44994</v>
      </c>
      <c r="B25" s="15">
        <f t="shared" si="2"/>
        <v>498000</v>
      </c>
      <c r="C25" s="15">
        <f t="shared" si="0"/>
        <v>119.65833333333333</v>
      </c>
      <c r="D25" s="15"/>
      <c r="E25" s="15"/>
      <c r="F25" s="15">
        <f t="shared" si="1"/>
        <v>498000</v>
      </c>
      <c r="H25" s="11"/>
    </row>
    <row r="26" spans="1:8" x14ac:dyDescent="0.25">
      <c r="A26" s="168">
        <v>44995</v>
      </c>
      <c r="B26" s="15">
        <f t="shared" si="2"/>
        <v>498000</v>
      </c>
      <c r="C26" s="15">
        <f t="shared" si="0"/>
        <v>119.65833333333333</v>
      </c>
      <c r="D26" s="15"/>
      <c r="E26" s="15"/>
      <c r="F26" s="15">
        <f t="shared" si="1"/>
        <v>498000</v>
      </c>
      <c r="H26" s="11"/>
    </row>
    <row r="27" spans="1:8" x14ac:dyDescent="0.25">
      <c r="A27" s="168">
        <v>44996</v>
      </c>
      <c r="B27" s="15">
        <f t="shared" si="2"/>
        <v>498000</v>
      </c>
      <c r="C27" s="15">
        <f t="shared" si="0"/>
        <v>119.65833333333333</v>
      </c>
      <c r="D27" s="15"/>
      <c r="E27" s="15"/>
      <c r="F27" s="15">
        <f t="shared" si="1"/>
        <v>498000</v>
      </c>
      <c r="H27" s="11"/>
    </row>
    <row r="28" spans="1:8" x14ac:dyDescent="0.25">
      <c r="A28" s="168">
        <v>44997</v>
      </c>
      <c r="B28" s="15">
        <f t="shared" si="2"/>
        <v>498000</v>
      </c>
      <c r="C28" s="15">
        <f t="shared" si="0"/>
        <v>119.65833333333333</v>
      </c>
      <c r="D28" s="15"/>
      <c r="E28" s="15"/>
      <c r="F28" s="15">
        <f t="shared" si="1"/>
        <v>498000</v>
      </c>
      <c r="H28" s="11"/>
    </row>
    <row r="29" spans="1:8" x14ac:dyDescent="0.25">
      <c r="A29" s="168">
        <v>44998</v>
      </c>
      <c r="B29" s="15">
        <f t="shared" si="2"/>
        <v>498000</v>
      </c>
      <c r="C29" s="15">
        <f t="shared" si="0"/>
        <v>119.65833333333333</v>
      </c>
      <c r="D29" s="15"/>
      <c r="E29" s="15"/>
      <c r="F29" s="15">
        <f t="shared" si="1"/>
        <v>498000</v>
      </c>
      <c r="H29" s="11"/>
    </row>
    <row r="30" spans="1:8" x14ac:dyDescent="0.25">
      <c r="A30" s="168">
        <v>44999</v>
      </c>
      <c r="B30" s="15">
        <f t="shared" si="2"/>
        <v>498000</v>
      </c>
      <c r="C30" s="15">
        <f t="shared" si="0"/>
        <v>118.45694444444445</v>
      </c>
      <c r="D30" s="15">
        <v>-5000</v>
      </c>
      <c r="E30" s="15"/>
      <c r="F30" s="15">
        <f t="shared" si="1"/>
        <v>493000</v>
      </c>
      <c r="H30" s="11"/>
    </row>
    <row r="31" spans="1:8" x14ac:dyDescent="0.25">
      <c r="A31" s="168">
        <v>45000</v>
      </c>
      <c r="B31" s="15">
        <f t="shared" si="2"/>
        <v>493000</v>
      </c>
      <c r="C31" s="15">
        <f t="shared" si="0"/>
        <v>118.45694444444445</v>
      </c>
      <c r="D31" s="15"/>
      <c r="E31" s="15">
        <v>0</v>
      </c>
      <c r="F31" s="15">
        <f t="shared" si="1"/>
        <v>493000</v>
      </c>
    </row>
    <row r="32" spans="1:8" x14ac:dyDescent="0.25">
      <c r="A32" s="168">
        <v>45001</v>
      </c>
      <c r="B32" s="15">
        <f t="shared" si="2"/>
        <v>493000</v>
      </c>
      <c r="C32" s="15">
        <f t="shared" si="0"/>
        <v>118.45694444444445</v>
      </c>
      <c r="D32" s="15"/>
      <c r="E32" s="15"/>
      <c r="F32" s="15">
        <f t="shared" si="1"/>
        <v>493000</v>
      </c>
    </row>
    <row r="33" spans="1:6" x14ac:dyDescent="0.25">
      <c r="A33" s="168">
        <v>45002</v>
      </c>
      <c r="B33" s="15">
        <f t="shared" si="2"/>
        <v>493000</v>
      </c>
      <c r="C33" s="15">
        <f t="shared" si="0"/>
        <v>118.45694444444445</v>
      </c>
      <c r="D33" s="15"/>
      <c r="E33" s="15"/>
      <c r="F33" s="15">
        <f t="shared" si="1"/>
        <v>493000</v>
      </c>
    </row>
    <row r="34" spans="1:6" x14ac:dyDescent="0.25">
      <c r="A34" s="168">
        <v>45003</v>
      </c>
      <c r="B34" s="15">
        <f t="shared" si="2"/>
        <v>493000</v>
      </c>
      <c r="C34" s="15">
        <f t="shared" si="0"/>
        <v>118.45694444444445</v>
      </c>
      <c r="D34" s="15"/>
      <c r="E34" s="15"/>
      <c r="F34" s="15">
        <f t="shared" si="1"/>
        <v>493000</v>
      </c>
    </row>
    <row r="35" spans="1:6" x14ac:dyDescent="0.25">
      <c r="A35" s="168">
        <v>45004</v>
      </c>
      <c r="B35" s="15">
        <f t="shared" si="2"/>
        <v>493000</v>
      </c>
      <c r="C35" s="15">
        <f t="shared" si="0"/>
        <v>118.45694444444445</v>
      </c>
      <c r="D35" s="15"/>
      <c r="E35" s="15"/>
      <c r="F35" s="15">
        <f t="shared" si="1"/>
        <v>493000</v>
      </c>
    </row>
    <row r="36" spans="1:6" x14ac:dyDescent="0.25">
      <c r="A36" s="168">
        <v>45005</v>
      </c>
      <c r="B36" s="15">
        <f t="shared" si="2"/>
        <v>493000</v>
      </c>
      <c r="C36" s="15">
        <f t="shared" si="0"/>
        <v>118.45694444444445</v>
      </c>
      <c r="D36" s="15"/>
      <c r="E36" s="15"/>
      <c r="F36" s="15">
        <f t="shared" si="1"/>
        <v>493000</v>
      </c>
    </row>
    <row r="37" spans="1:6" x14ac:dyDescent="0.25">
      <c r="A37" s="168">
        <v>45006</v>
      </c>
      <c r="B37" s="15">
        <f t="shared" si="2"/>
        <v>493000</v>
      </c>
      <c r="C37" s="15">
        <f t="shared" si="0"/>
        <v>118.45694444444445</v>
      </c>
      <c r="D37" s="15"/>
      <c r="E37" s="15"/>
      <c r="F37" s="15">
        <f t="shared" si="1"/>
        <v>493000</v>
      </c>
    </row>
    <row r="38" spans="1:6" x14ac:dyDescent="0.25">
      <c r="A38" s="168">
        <v>45007</v>
      </c>
      <c r="B38" s="15">
        <f t="shared" si="2"/>
        <v>493000</v>
      </c>
      <c r="C38" s="15">
        <f t="shared" si="0"/>
        <v>118.45694444444445</v>
      </c>
      <c r="D38" s="15"/>
      <c r="E38" s="15"/>
      <c r="F38" s="15">
        <f t="shared" si="1"/>
        <v>493000</v>
      </c>
    </row>
    <row r="39" spans="1:6" x14ac:dyDescent="0.25">
      <c r="A39" s="168">
        <v>45008</v>
      </c>
      <c r="B39" s="15">
        <f t="shared" si="2"/>
        <v>493000</v>
      </c>
      <c r="C39" s="15">
        <f t="shared" si="0"/>
        <v>118.45694444444445</v>
      </c>
      <c r="D39" s="15"/>
      <c r="E39" s="15"/>
      <c r="F39" s="15">
        <f t="shared" si="1"/>
        <v>493000</v>
      </c>
    </row>
    <row r="40" spans="1:6" x14ac:dyDescent="0.25">
      <c r="A40" s="168">
        <v>45009</v>
      </c>
      <c r="B40" s="15">
        <f t="shared" si="2"/>
        <v>493000</v>
      </c>
      <c r="C40" s="15">
        <f t="shared" si="0"/>
        <v>118.45694444444445</v>
      </c>
      <c r="D40" s="15"/>
      <c r="E40" s="15"/>
      <c r="F40" s="15">
        <f t="shared" si="1"/>
        <v>493000</v>
      </c>
    </row>
    <row r="41" spans="1:6" x14ac:dyDescent="0.25">
      <c r="A41" s="168">
        <v>45010</v>
      </c>
      <c r="B41" s="15">
        <f t="shared" si="2"/>
        <v>493000</v>
      </c>
      <c r="C41" s="15">
        <f t="shared" si="0"/>
        <v>118.45694444444445</v>
      </c>
      <c r="D41" s="15"/>
      <c r="E41" s="15"/>
      <c r="F41" s="15">
        <f t="shared" si="1"/>
        <v>493000</v>
      </c>
    </row>
    <row r="42" spans="1:6" x14ac:dyDescent="0.25">
      <c r="A42" s="168">
        <v>45011</v>
      </c>
      <c r="B42" s="15">
        <f t="shared" si="2"/>
        <v>493000</v>
      </c>
      <c r="C42" s="15">
        <f t="shared" si="0"/>
        <v>118.45694444444445</v>
      </c>
      <c r="D42" s="15"/>
      <c r="E42" s="15"/>
      <c r="F42" s="15">
        <f t="shared" si="1"/>
        <v>493000</v>
      </c>
    </row>
    <row r="43" spans="1:6" x14ac:dyDescent="0.25">
      <c r="A43" s="168">
        <v>45012</v>
      </c>
      <c r="B43" s="15">
        <f t="shared" si="2"/>
        <v>493000</v>
      </c>
      <c r="C43" s="15">
        <f t="shared" si="0"/>
        <v>118.45694444444445</v>
      </c>
      <c r="D43" s="15"/>
      <c r="E43" s="15"/>
      <c r="F43" s="15">
        <f t="shared" si="1"/>
        <v>493000</v>
      </c>
    </row>
    <row r="44" spans="1:6" x14ac:dyDescent="0.25">
      <c r="A44" s="168">
        <v>45013</v>
      </c>
      <c r="B44" s="15">
        <f t="shared" si="2"/>
        <v>493000</v>
      </c>
      <c r="C44" s="15">
        <f t="shared" si="0"/>
        <v>118.45694444444445</v>
      </c>
      <c r="D44" s="15"/>
      <c r="E44" s="15"/>
      <c r="F44" s="15">
        <f t="shared" si="1"/>
        <v>493000</v>
      </c>
    </row>
    <row r="45" spans="1:6" x14ac:dyDescent="0.25">
      <c r="A45" s="168">
        <v>45014</v>
      </c>
      <c r="B45" s="15">
        <f t="shared" si="2"/>
        <v>493000</v>
      </c>
      <c r="C45" s="15">
        <f t="shared" si="0"/>
        <v>118.45694444444445</v>
      </c>
      <c r="D45" s="15"/>
      <c r="E45" s="15"/>
      <c r="F45" s="15">
        <f t="shared" si="1"/>
        <v>493000</v>
      </c>
    </row>
    <row r="46" spans="1:6" x14ac:dyDescent="0.25">
      <c r="A46" s="168">
        <v>45015</v>
      </c>
      <c r="B46" s="15">
        <f t="shared" si="2"/>
        <v>493000</v>
      </c>
      <c r="C46" s="15">
        <f t="shared" si="0"/>
        <v>118.25991666666667</v>
      </c>
      <c r="D46" s="15">
        <v>-6000</v>
      </c>
      <c r="E46" s="15">
        <v>5180</v>
      </c>
      <c r="F46" s="15">
        <f t="shared" si="1"/>
        <v>492180</v>
      </c>
    </row>
    <row r="47" spans="1:6" x14ac:dyDescent="0.25">
      <c r="A47" s="168">
        <v>45016</v>
      </c>
      <c r="B47" s="15">
        <f t="shared" si="2"/>
        <v>492180</v>
      </c>
      <c r="C47" s="15">
        <f t="shared" si="0"/>
        <v>118.25991666666667</v>
      </c>
      <c r="D47" s="15"/>
      <c r="E47" s="15"/>
      <c r="F47" s="15">
        <f t="shared" si="1"/>
        <v>492180</v>
      </c>
    </row>
    <row r="48" spans="1:6" x14ac:dyDescent="0.25">
      <c r="A48" s="168">
        <v>45017</v>
      </c>
      <c r="B48" s="15">
        <f t="shared" si="2"/>
        <v>492180</v>
      </c>
      <c r="C48" s="15">
        <f t="shared" si="0"/>
        <v>118.25991666666667</v>
      </c>
      <c r="D48" s="15"/>
      <c r="E48" s="15"/>
      <c r="F48" s="15">
        <f t="shared" si="1"/>
        <v>492180</v>
      </c>
    </row>
    <row r="49" spans="1:6" x14ac:dyDescent="0.25">
      <c r="A49" s="168">
        <v>45018</v>
      </c>
      <c r="B49" s="15">
        <f t="shared" si="2"/>
        <v>492180</v>
      </c>
      <c r="C49" s="15">
        <f t="shared" si="0"/>
        <v>118.25991666666667</v>
      </c>
      <c r="D49" s="15"/>
      <c r="E49" s="15"/>
      <c r="F49" s="15">
        <f t="shared" si="1"/>
        <v>492180</v>
      </c>
    </row>
    <row r="50" spans="1:6" x14ac:dyDescent="0.25">
      <c r="A50" s="168">
        <v>45019</v>
      </c>
      <c r="B50" s="15">
        <f t="shared" si="2"/>
        <v>492180</v>
      </c>
      <c r="C50" s="15">
        <f t="shared" si="0"/>
        <v>118.25991666666667</v>
      </c>
      <c r="D50" s="15"/>
      <c r="E50" s="15"/>
      <c r="F50" s="15">
        <f t="shared" si="1"/>
        <v>492180</v>
      </c>
    </row>
    <row r="51" spans="1:6" x14ac:dyDescent="0.25">
      <c r="A51" s="168">
        <v>45020</v>
      </c>
      <c r="B51" s="15">
        <f t="shared" si="2"/>
        <v>492180</v>
      </c>
      <c r="C51" s="15">
        <f t="shared" si="0"/>
        <v>118.25991666666667</v>
      </c>
      <c r="D51" s="15"/>
      <c r="E51" s="15"/>
      <c r="F51" s="15">
        <f t="shared" si="1"/>
        <v>492180</v>
      </c>
    </row>
    <row r="52" spans="1:6" x14ac:dyDescent="0.25">
      <c r="A52" s="168">
        <v>45021</v>
      </c>
      <c r="B52" s="15">
        <f t="shared" si="2"/>
        <v>492180</v>
      </c>
      <c r="C52" s="15">
        <f t="shared" si="0"/>
        <v>118.25991666666667</v>
      </c>
      <c r="D52" s="15"/>
      <c r="E52" s="15"/>
      <c r="F52" s="15">
        <f t="shared" si="1"/>
        <v>492180</v>
      </c>
    </row>
    <row r="53" spans="1:6" x14ac:dyDescent="0.25">
      <c r="A53" s="168">
        <v>45022</v>
      </c>
      <c r="B53" s="15">
        <f t="shared" si="2"/>
        <v>492180</v>
      </c>
      <c r="C53" s="15">
        <f t="shared" si="0"/>
        <v>118.25991666666667</v>
      </c>
      <c r="D53" s="15"/>
      <c r="E53" s="15"/>
      <c r="F53" s="15">
        <f t="shared" si="1"/>
        <v>492180</v>
      </c>
    </row>
    <row r="54" spans="1:6" x14ac:dyDescent="0.25">
      <c r="A54" s="168">
        <v>45023</v>
      </c>
      <c r="B54" s="15">
        <f t="shared" si="2"/>
        <v>492180</v>
      </c>
      <c r="C54" s="15">
        <f t="shared" si="0"/>
        <v>118.25991666666667</v>
      </c>
      <c r="D54" s="15"/>
      <c r="E54" s="15"/>
      <c r="F54" s="15">
        <f t="shared" si="1"/>
        <v>492180</v>
      </c>
    </row>
    <row r="55" spans="1:6" x14ac:dyDescent="0.25">
      <c r="A55" s="168">
        <v>45024</v>
      </c>
      <c r="B55" s="15">
        <f t="shared" si="2"/>
        <v>492180</v>
      </c>
      <c r="C55" s="15">
        <f t="shared" si="0"/>
        <v>118.25991666666667</v>
      </c>
      <c r="D55" s="15"/>
      <c r="E55" s="15"/>
      <c r="F55" s="15">
        <f t="shared" si="1"/>
        <v>492180</v>
      </c>
    </row>
    <row r="56" spans="1:6" x14ac:dyDescent="0.25">
      <c r="A56" s="168">
        <v>45025</v>
      </c>
      <c r="B56" s="15">
        <f t="shared" si="2"/>
        <v>492180</v>
      </c>
      <c r="C56" s="15">
        <f t="shared" si="0"/>
        <v>118.25991666666667</v>
      </c>
      <c r="D56" s="15"/>
      <c r="E56" s="15"/>
      <c r="F56" s="15">
        <f t="shared" si="1"/>
        <v>492180</v>
      </c>
    </row>
    <row r="57" spans="1:6" x14ac:dyDescent="0.25">
      <c r="A57" s="168">
        <v>45026</v>
      </c>
      <c r="B57" s="15">
        <f t="shared" si="2"/>
        <v>492180</v>
      </c>
      <c r="C57" s="15">
        <f t="shared" si="0"/>
        <v>118.25991666666667</v>
      </c>
      <c r="D57" s="15"/>
      <c r="E57" s="15"/>
      <c r="F57" s="15">
        <f t="shared" si="1"/>
        <v>492180</v>
      </c>
    </row>
    <row r="58" spans="1:6" x14ac:dyDescent="0.25">
      <c r="A58" s="168">
        <v>45027</v>
      </c>
      <c r="B58" s="15">
        <f t="shared" si="2"/>
        <v>492180</v>
      </c>
      <c r="C58" s="15">
        <f t="shared" si="0"/>
        <v>118.25991666666667</v>
      </c>
      <c r="D58" s="15"/>
      <c r="E58" s="15"/>
      <c r="F58" s="15">
        <f t="shared" si="1"/>
        <v>492180</v>
      </c>
    </row>
    <row r="59" spans="1:6" x14ac:dyDescent="0.25">
      <c r="A59" s="168">
        <v>45028</v>
      </c>
      <c r="B59" s="15">
        <f t="shared" si="2"/>
        <v>492180</v>
      </c>
      <c r="C59" s="15">
        <f t="shared" si="0"/>
        <v>118.25991666666667</v>
      </c>
      <c r="D59" s="15"/>
      <c r="E59" s="15"/>
      <c r="F59" s="15">
        <f t="shared" si="1"/>
        <v>492180</v>
      </c>
    </row>
    <row r="60" spans="1:6" x14ac:dyDescent="0.25">
      <c r="A60" s="168">
        <v>45029</v>
      </c>
      <c r="B60" s="15">
        <f t="shared" si="2"/>
        <v>492180</v>
      </c>
      <c r="C60" s="15">
        <f t="shared" si="0"/>
        <v>118.25991666666667</v>
      </c>
      <c r="D60" s="15"/>
      <c r="E60" s="15"/>
      <c r="F60" s="15">
        <f t="shared" si="1"/>
        <v>492180</v>
      </c>
    </row>
    <row r="61" spans="1:6" x14ac:dyDescent="0.25">
      <c r="A61" s="168">
        <v>45030</v>
      </c>
      <c r="B61" s="15">
        <f t="shared" si="2"/>
        <v>492180</v>
      </c>
      <c r="C61" s="15">
        <f t="shared" si="0"/>
        <v>118.25991666666667</v>
      </c>
      <c r="D61" s="15"/>
      <c r="E61" s="15"/>
      <c r="F61" s="15">
        <f t="shared" si="1"/>
        <v>492180</v>
      </c>
    </row>
    <row r="62" spans="1:6" x14ac:dyDescent="0.25">
      <c r="A62" s="168">
        <v>45031</v>
      </c>
      <c r="B62" s="15">
        <f t="shared" si="2"/>
        <v>492180</v>
      </c>
      <c r="C62" s="15">
        <f t="shared" si="0"/>
        <v>118.25991666666667</v>
      </c>
      <c r="D62" s="15"/>
      <c r="E62" s="15"/>
      <c r="F62" s="15">
        <f t="shared" si="1"/>
        <v>492180</v>
      </c>
    </row>
    <row r="63" spans="1:6" x14ac:dyDescent="0.25">
      <c r="A63" s="168">
        <v>45032</v>
      </c>
      <c r="B63" s="15">
        <f t="shared" si="2"/>
        <v>492180</v>
      </c>
      <c r="C63" s="15">
        <f t="shared" si="0"/>
        <v>118.25991666666667</v>
      </c>
      <c r="D63" s="15"/>
      <c r="E63" s="15"/>
      <c r="F63" s="15">
        <f t="shared" si="1"/>
        <v>492180</v>
      </c>
    </row>
    <row r="64" spans="1:6" x14ac:dyDescent="0.25">
      <c r="A64" s="168">
        <v>45033</v>
      </c>
      <c r="B64" s="15">
        <f t="shared" si="2"/>
        <v>492180</v>
      </c>
      <c r="C64" s="15">
        <f t="shared" si="0"/>
        <v>118.25991666666667</v>
      </c>
      <c r="D64" s="15"/>
      <c r="E64" s="15"/>
      <c r="F64" s="15">
        <f t="shared" si="1"/>
        <v>492180</v>
      </c>
    </row>
    <row r="65" spans="1:6" x14ac:dyDescent="0.25">
      <c r="A65" s="168">
        <v>45034</v>
      </c>
      <c r="B65" s="15">
        <f t="shared" si="2"/>
        <v>492180</v>
      </c>
      <c r="C65" s="15">
        <f t="shared" si="0"/>
        <v>118.25991666666667</v>
      </c>
      <c r="D65" s="15"/>
      <c r="E65" s="15"/>
      <c r="F65" s="15">
        <f t="shared" si="1"/>
        <v>492180</v>
      </c>
    </row>
    <row r="66" spans="1:6" x14ac:dyDescent="0.25">
      <c r="A66" s="168">
        <v>45035</v>
      </c>
      <c r="B66" s="15">
        <f t="shared" si="2"/>
        <v>492180</v>
      </c>
      <c r="C66" s="15">
        <f t="shared" si="0"/>
        <v>118.25991666666667</v>
      </c>
      <c r="D66" s="15"/>
      <c r="E66" s="15"/>
      <c r="F66" s="15">
        <f t="shared" si="1"/>
        <v>492180</v>
      </c>
    </row>
    <row r="67" spans="1:6" x14ac:dyDescent="0.25">
      <c r="A67" s="168">
        <v>45036</v>
      </c>
      <c r="B67" s="15">
        <f t="shared" si="2"/>
        <v>492180</v>
      </c>
      <c r="C67" s="15">
        <f t="shared" si="0"/>
        <v>118.25991666666667</v>
      </c>
      <c r="D67" s="15"/>
      <c r="E67" s="15"/>
      <c r="F67" s="15">
        <f t="shared" si="1"/>
        <v>492180</v>
      </c>
    </row>
    <row r="68" spans="1:6" x14ac:dyDescent="0.25">
      <c r="A68" s="168">
        <v>45037</v>
      </c>
      <c r="B68" s="15">
        <f t="shared" si="2"/>
        <v>492180</v>
      </c>
      <c r="C68" s="15">
        <f t="shared" ref="C68:C131" si="3">F68*$C$1/36000</f>
        <v>118.25991666666667</v>
      </c>
      <c r="D68" s="15"/>
      <c r="E68" s="15"/>
      <c r="F68" s="15">
        <f t="shared" ref="F68:F131" si="4">B68+D68+E68</f>
        <v>492180</v>
      </c>
    </row>
    <row r="69" spans="1:6" x14ac:dyDescent="0.25">
      <c r="A69" s="168">
        <v>45038</v>
      </c>
      <c r="B69" s="15">
        <f t="shared" ref="B69:B132" si="5">F68</f>
        <v>492180</v>
      </c>
      <c r="C69" s="15">
        <f t="shared" si="3"/>
        <v>118.25991666666667</v>
      </c>
      <c r="D69" s="15"/>
      <c r="E69" s="15"/>
      <c r="F69" s="15">
        <f t="shared" si="4"/>
        <v>492180</v>
      </c>
    </row>
    <row r="70" spans="1:6" x14ac:dyDescent="0.25">
      <c r="A70" s="168">
        <v>45039</v>
      </c>
      <c r="B70" s="15">
        <f t="shared" si="5"/>
        <v>492180</v>
      </c>
      <c r="C70" s="15">
        <f t="shared" si="3"/>
        <v>118.25991666666667</v>
      </c>
      <c r="D70" s="15"/>
      <c r="E70" s="15"/>
      <c r="F70" s="15">
        <f t="shared" si="4"/>
        <v>492180</v>
      </c>
    </row>
    <row r="71" spans="1:6" x14ac:dyDescent="0.25">
      <c r="A71" s="168">
        <v>45040</v>
      </c>
      <c r="B71" s="15">
        <f t="shared" si="5"/>
        <v>492180</v>
      </c>
      <c r="C71" s="15">
        <f t="shared" si="3"/>
        <v>118.25991666666667</v>
      </c>
      <c r="D71" s="15"/>
      <c r="E71" s="15"/>
      <c r="F71" s="15">
        <f t="shared" si="4"/>
        <v>492180</v>
      </c>
    </row>
    <row r="72" spans="1:6" x14ac:dyDescent="0.25">
      <c r="A72" s="168">
        <v>45041</v>
      </c>
      <c r="B72" s="15">
        <f t="shared" si="5"/>
        <v>492180</v>
      </c>
      <c r="C72" s="15">
        <f t="shared" si="3"/>
        <v>118.25991666666667</v>
      </c>
      <c r="D72" s="15"/>
      <c r="E72" s="15"/>
      <c r="F72" s="15">
        <f t="shared" si="4"/>
        <v>492180</v>
      </c>
    </row>
    <row r="73" spans="1:6" x14ac:dyDescent="0.25">
      <c r="A73" s="168">
        <v>45042</v>
      </c>
      <c r="B73" s="15">
        <f t="shared" si="5"/>
        <v>492180</v>
      </c>
      <c r="C73" s="15">
        <f t="shared" si="3"/>
        <v>118.25991666666667</v>
      </c>
      <c r="D73" s="15"/>
      <c r="E73" s="15"/>
      <c r="F73" s="15">
        <f t="shared" si="4"/>
        <v>492180</v>
      </c>
    </row>
    <row r="74" spans="1:6" x14ac:dyDescent="0.25">
      <c r="A74" s="168">
        <v>45043</v>
      </c>
      <c r="B74" s="15">
        <f t="shared" si="5"/>
        <v>492180</v>
      </c>
      <c r="C74" s="15">
        <f t="shared" si="3"/>
        <v>118.25991666666667</v>
      </c>
      <c r="D74" s="15"/>
      <c r="E74" s="15"/>
      <c r="F74" s="15">
        <f t="shared" si="4"/>
        <v>492180</v>
      </c>
    </row>
    <row r="75" spans="1:6" x14ac:dyDescent="0.25">
      <c r="A75" s="168">
        <v>45044</v>
      </c>
      <c r="B75" s="15">
        <f t="shared" si="5"/>
        <v>492180</v>
      </c>
      <c r="C75" s="15">
        <f t="shared" si="3"/>
        <v>118.25991666666667</v>
      </c>
      <c r="D75" s="15"/>
      <c r="E75" s="15"/>
      <c r="F75" s="15">
        <f t="shared" si="4"/>
        <v>492180</v>
      </c>
    </row>
    <row r="76" spans="1:6" x14ac:dyDescent="0.25">
      <c r="A76" s="168">
        <v>45045</v>
      </c>
      <c r="B76" s="15">
        <f t="shared" si="5"/>
        <v>492180</v>
      </c>
      <c r="C76" s="15">
        <f t="shared" si="3"/>
        <v>118.25991666666667</v>
      </c>
      <c r="D76" s="15"/>
      <c r="E76" s="15"/>
      <c r="F76" s="15">
        <f t="shared" si="4"/>
        <v>492180</v>
      </c>
    </row>
    <row r="77" spans="1:6" x14ac:dyDescent="0.25">
      <c r="A77" s="168">
        <v>45046</v>
      </c>
      <c r="B77" s="15">
        <f t="shared" si="5"/>
        <v>492180</v>
      </c>
      <c r="C77" s="15">
        <f t="shared" si="3"/>
        <v>118.25991666666667</v>
      </c>
      <c r="D77" s="15"/>
      <c r="E77" s="15"/>
      <c r="F77" s="15">
        <f t="shared" si="4"/>
        <v>492180</v>
      </c>
    </row>
    <row r="78" spans="1:6" x14ac:dyDescent="0.25">
      <c r="A78" s="168">
        <v>45047</v>
      </c>
      <c r="B78" s="15">
        <f t="shared" si="5"/>
        <v>492180</v>
      </c>
      <c r="C78" s="15">
        <f t="shared" si="3"/>
        <v>118.25991666666667</v>
      </c>
      <c r="D78" s="15"/>
      <c r="E78" s="15"/>
      <c r="F78" s="15">
        <f t="shared" si="4"/>
        <v>492180</v>
      </c>
    </row>
    <row r="79" spans="1:6" x14ac:dyDescent="0.25">
      <c r="A79" s="168">
        <v>45048</v>
      </c>
      <c r="B79" s="15">
        <f t="shared" si="5"/>
        <v>492180</v>
      </c>
      <c r="C79" s="15">
        <f t="shared" si="3"/>
        <v>116.57797222222223</v>
      </c>
      <c r="D79" s="15">
        <v>-7000</v>
      </c>
      <c r="E79" s="15"/>
      <c r="F79" s="15">
        <f t="shared" si="4"/>
        <v>485180</v>
      </c>
    </row>
    <row r="80" spans="1:6" x14ac:dyDescent="0.25">
      <c r="A80" s="168">
        <v>45049</v>
      </c>
      <c r="B80" s="15">
        <f t="shared" si="5"/>
        <v>485180</v>
      </c>
      <c r="C80" s="15">
        <f t="shared" si="3"/>
        <v>116.57797222222223</v>
      </c>
      <c r="D80" s="15"/>
      <c r="E80" s="15"/>
      <c r="F80" s="15">
        <f t="shared" si="4"/>
        <v>485180</v>
      </c>
    </row>
    <row r="81" spans="1:6" x14ac:dyDescent="0.25">
      <c r="A81" s="168">
        <v>45050</v>
      </c>
      <c r="B81" s="15">
        <f t="shared" si="5"/>
        <v>485180</v>
      </c>
      <c r="C81" s="15">
        <f t="shared" si="3"/>
        <v>116.57797222222223</v>
      </c>
      <c r="D81" s="15"/>
      <c r="E81" s="15"/>
      <c r="F81" s="15">
        <f t="shared" si="4"/>
        <v>485180</v>
      </c>
    </row>
    <row r="82" spans="1:6" x14ac:dyDescent="0.25">
      <c r="A82" s="168">
        <v>45051</v>
      </c>
      <c r="B82" s="15">
        <f t="shared" si="5"/>
        <v>485180</v>
      </c>
      <c r="C82" s="15">
        <f t="shared" si="3"/>
        <v>116.57797222222223</v>
      </c>
      <c r="D82" s="15"/>
      <c r="E82" s="15"/>
      <c r="F82" s="15">
        <f t="shared" si="4"/>
        <v>485180</v>
      </c>
    </row>
    <row r="83" spans="1:6" x14ac:dyDescent="0.25">
      <c r="A83" s="168">
        <v>45052</v>
      </c>
      <c r="B83" s="15">
        <f t="shared" si="5"/>
        <v>485180</v>
      </c>
      <c r="C83" s="15">
        <f t="shared" si="3"/>
        <v>116.57797222222223</v>
      </c>
      <c r="D83" s="15"/>
      <c r="E83" s="15"/>
      <c r="F83" s="15">
        <f t="shared" si="4"/>
        <v>485180</v>
      </c>
    </row>
    <row r="84" spans="1:6" x14ac:dyDescent="0.25">
      <c r="A84" s="168">
        <v>45053</v>
      </c>
      <c r="B84" s="15">
        <f t="shared" si="5"/>
        <v>485180</v>
      </c>
      <c r="C84" s="15">
        <f t="shared" si="3"/>
        <v>116.57797222222223</v>
      </c>
      <c r="D84" s="15"/>
      <c r="E84" s="15"/>
      <c r="F84" s="15">
        <f t="shared" si="4"/>
        <v>485180</v>
      </c>
    </row>
    <row r="85" spans="1:6" x14ac:dyDescent="0.25">
      <c r="A85" s="168">
        <v>45054</v>
      </c>
      <c r="B85" s="15">
        <f t="shared" si="5"/>
        <v>485180</v>
      </c>
      <c r="C85" s="15">
        <f t="shared" si="3"/>
        <v>116.57797222222223</v>
      </c>
      <c r="D85" s="15"/>
      <c r="E85" s="15"/>
      <c r="F85" s="15">
        <f t="shared" si="4"/>
        <v>485180</v>
      </c>
    </row>
    <row r="86" spans="1:6" x14ac:dyDescent="0.25">
      <c r="A86" s="168">
        <v>45055</v>
      </c>
      <c r="B86" s="15">
        <f t="shared" si="5"/>
        <v>485180</v>
      </c>
      <c r="C86" s="15">
        <f t="shared" si="3"/>
        <v>116.57797222222223</v>
      </c>
      <c r="D86" s="15"/>
      <c r="E86" s="15"/>
      <c r="F86" s="15">
        <f t="shared" si="4"/>
        <v>485180</v>
      </c>
    </row>
    <row r="87" spans="1:6" x14ac:dyDescent="0.25">
      <c r="A87" s="168">
        <v>45056</v>
      </c>
      <c r="B87" s="15">
        <f t="shared" si="5"/>
        <v>485180</v>
      </c>
      <c r="C87" s="15">
        <f t="shared" si="3"/>
        <v>116.57797222222223</v>
      </c>
      <c r="D87" s="15"/>
      <c r="E87" s="15"/>
      <c r="F87" s="15">
        <f t="shared" si="4"/>
        <v>485180</v>
      </c>
    </row>
    <row r="88" spans="1:6" x14ac:dyDescent="0.25">
      <c r="A88" s="168">
        <v>45057</v>
      </c>
      <c r="B88" s="15">
        <f t="shared" si="5"/>
        <v>485180</v>
      </c>
      <c r="C88" s="15">
        <f t="shared" si="3"/>
        <v>116.57797222222223</v>
      </c>
      <c r="D88" s="15"/>
      <c r="E88" s="15"/>
      <c r="F88" s="15">
        <f t="shared" si="4"/>
        <v>485180</v>
      </c>
    </row>
    <row r="89" spans="1:6" x14ac:dyDescent="0.25">
      <c r="A89" s="168">
        <v>45058</v>
      </c>
      <c r="B89" s="15">
        <f t="shared" si="5"/>
        <v>485180</v>
      </c>
      <c r="C89" s="15">
        <f t="shared" si="3"/>
        <v>116.57797222222223</v>
      </c>
      <c r="D89" s="15"/>
      <c r="E89" s="15"/>
      <c r="F89" s="15">
        <f t="shared" si="4"/>
        <v>485180</v>
      </c>
    </row>
    <row r="90" spans="1:6" x14ac:dyDescent="0.25">
      <c r="A90" s="168">
        <v>45059</v>
      </c>
      <c r="B90" s="15">
        <f t="shared" si="5"/>
        <v>485180</v>
      </c>
      <c r="C90" s="15">
        <f t="shared" si="3"/>
        <v>116.57797222222223</v>
      </c>
      <c r="D90" s="15"/>
      <c r="E90" s="15"/>
      <c r="F90" s="15">
        <f t="shared" si="4"/>
        <v>485180</v>
      </c>
    </row>
    <row r="91" spans="1:6" x14ac:dyDescent="0.25">
      <c r="A91" s="168">
        <v>45060</v>
      </c>
      <c r="B91" s="15">
        <f t="shared" si="5"/>
        <v>485180</v>
      </c>
      <c r="C91" s="15">
        <f t="shared" si="3"/>
        <v>116.57797222222223</v>
      </c>
      <c r="D91" s="15"/>
      <c r="E91" s="15"/>
      <c r="F91" s="15">
        <f t="shared" si="4"/>
        <v>485180</v>
      </c>
    </row>
    <row r="92" spans="1:6" x14ac:dyDescent="0.25">
      <c r="A92" s="168">
        <v>45061</v>
      </c>
      <c r="B92" s="15">
        <f t="shared" si="5"/>
        <v>485180</v>
      </c>
      <c r="C92" s="15">
        <f t="shared" si="3"/>
        <v>116.57797222222223</v>
      </c>
      <c r="D92" s="15"/>
      <c r="E92" s="15"/>
      <c r="F92" s="15">
        <f t="shared" si="4"/>
        <v>485180</v>
      </c>
    </row>
    <row r="93" spans="1:6" x14ac:dyDescent="0.25">
      <c r="A93" s="168">
        <v>45062</v>
      </c>
      <c r="B93" s="15">
        <f t="shared" si="5"/>
        <v>485180</v>
      </c>
      <c r="C93" s="15">
        <f t="shared" si="3"/>
        <v>116.57797222222223</v>
      </c>
      <c r="D93" s="15"/>
      <c r="E93" s="15"/>
      <c r="F93" s="15">
        <f t="shared" si="4"/>
        <v>485180</v>
      </c>
    </row>
    <row r="94" spans="1:6" x14ac:dyDescent="0.25">
      <c r="A94" s="168">
        <v>45063</v>
      </c>
      <c r="B94" s="15">
        <f t="shared" si="5"/>
        <v>485180</v>
      </c>
      <c r="C94" s="15">
        <f t="shared" si="3"/>
        <v>116.57797222222223</v>
      </c>
      <c r="D94" s="15"/>
      <c r="E94" s="15"/>
      <c r="F94" s="15">
        <f t="shared" si="4"/>
        <v>485180</v>
      </c>
    </row>
    <row r="95" spans="1:6" x14ac:dyDescent="0.25">
      <c r="A95" s="168">
        <v>45064</v>
      </c>
      <c r="B95" s="15">
        <f t="shared" si="5"/>
        <v>485180</v>
      </c>
      <c r="C95" s="15">
        <f t="shared" si="3"/>
        <v>116.57797222222223</v>
      </c>
      <c r="D95" s="15"/>
      <c r="E95" s="15"/>
      <c r="F95" s="15">
        <f t="shared" si="4"/>
        <v>485180</v>
      </c>
    </row>
    <row r="96" spans="1:6" x14ac:dyDescent="0.25">
      <c r="A96" s="168">
        <v>45065</v>
      </c>
      <c r="B96" s="15">
        <f t="shared" si="5"/>
        <v>485180</v>
      </c>
      <c r="C96" s="15">
        <f t="shared" si="3"/>
        <v>116.57797222222223</v>
      </c>
      <c r="D96" s="15"/>
      <c r="E96" s="15"/>
      <c r="F96" s="15">
        <f t="shared" si="4"/>
        <v>485180</v>
      </c>
    </row>
    <row r="97" spans="1:6" x14ac:dyDescent="0.25">
      <c r="A97" s="168">
        <v>45066</v>
      </c>
      <c r="B97" s="15">
        <f t="shared" si="5"/>
        <v>485180</v>
      </c>
      <c r="C97" s="15">
        <f t="shared" si="3"/>
        <v>116.57797222222223</v>
      </c>
      <c r="D97" s="15"/>
      <c r="E97" s="15"/>
      <c r="F97" s="15">
        <f t="shared" si="4"/>
        <v>485180</v>
      </c>
    </row>
    <row r="98" spans="1:6" x14ac:dyDescent="0.25">
      <c r="A98" s="168">
        <v>45067</v>
      </c>
      <c r="B98" s="15">
        <f t="shared" si="5"/>
        <v>485180</v>
      </c>
      <c r="C98" s="15">
        <f t="shared" si="3"/>
        <v>116.57797222222223</v>
      </c>
      <c r="D98" s="15"/>
      <c r="E98" s="15"/>
      <c r="F98" s="15">
        <f t="shared" si="4"/>
        <v>485180</v>
      </c>
    </row>
    <row r="99" spans="1:6" x14ac:dyDescent="0.25">
      <c r="A99" s="168">
        <v>45068</v>
      </c>
      <c r="B99" s="15">
        <f t="shared" si="5"/>
        <v>485180</v>
      </c>
      <c r="C99" s="15">
        <f t="shared" si="3"/>
        <v>116.57797222222223</v>
      </c>
      <c r="D99" s="15"/>
      <c r="E99" s="15"/>
      <c r="F99" s="15">
        <f t="shared" si="4"/>
        <v>485180</v>
      </c>
    </row>
    <row r="100" spans="1:6" x14ac:dyDescent="0.25">
      <c r="A100" s="168">
        <v>45069</v>
      </c>
      <c r="B100" s="15">
        <f t="shared" si="5"/>
        <v>485180</v>
      </c>
      <c r="C100" s="15">
        <f t="shared" si="3"/>
        <v>116.57797222222223</v>
      </c>
      <c r="D100" s="15"/>
      <c r="E100" s="15"/>
      <c r="F100" s="15">
        <f t="shared" si="4"/>
        <v>485180</v>
      </c>
    </row>
    <row r="101" spans="1:6" x14ac:dyDescent="0.25">
      <c r="A101" s="168">
        <v>45070</v>
      </c>
      <c r="B101" s="15">
        <f t="shared" si="5"/>
        <v>485180</v>
      </c>
      <c r="C101" s="15">
        <f t="shared" si="3"/>
        <v>116.57797222222223</v>
      </c>
      <c r="D101" s="15"/>
      <c r="E101" s="15"/>
      <c r="F101" s="15">
        <f t="shared" si="4"/>
        <v>485180</v>
      </c>
    </row>
    <row r="102" spans="1:6" x14ac:dyDescent="0.25">
      <c r="A102" s="168">
        <v>45071</v>
      </c>
      <c r="B102" s="15">
        <f t="shared" si="5"/>
        <v>485180</v>
      </c>
      <c r="C102" s="15">
        <f t="shared" si="3"/>
        <v>116.57797222222223</v>
      </c>
      <c r="D102" s="15"/>
      <c r="E102" s="15"/>
      <c r="F102" s="15">
        <f t="shared" si="4"/>
        <v>485180</v>
      </c>
    </row>
    <row r="103" spans="1:6" x14ac:dyDescent="0.25">
      <c r="A103" s="168">
        <v>45072</v>
      </c>
      <c r="B103" s="15">
        <f t="shared" si="5"/>
        <v>485180</v>
      </c>
      <c r="C103" s="15">
        <f t="shared" si="3"/>
        <v>116.57797222222223</v>
      </c>
      <c r="D103" s="15"/>
      <c r="E103" s="15"/>
      <c r="F103" s="15">
        <f t="shared" si="4"/>
        <v>485180</v>
      </c>
    </row>
    <row r="104" spans="1:6" x14ac:dyDescent="0.25">
      <c r="A104" s="168">
        <v>45073</v>
      </c>
      <c r="B104" s="15">
        <f t="shared" si="5"/>
        <v>485180</v>
      </c>
      <c r="C104" s="15">
        <f t="shared" si="3"/>
        <v>116.57797222222223</v>
      </c>
      <c r="D104" s="15"/>
      <c r="E104" s="15"/>
      <c r="F104" s="15">
        <f t="shared" si="4"/>
        <v>485180</v>
      </c>
    </row>
    <row r="105" spans="1:6" x14ac:dyDescent="0.25">
      <c r="A105" s="168">
        <v>45074</v>
      </c>
      <c r="B105" s="15">
        <f t="shared" si="5"/>
        <v>485180</v>
      </c>
      <c r="C105" s="15">
        <f t="shared" si="3"/>
        <v>116.57797222222223</v>
      </c>
      <c r="D105" s="15"/>
      <c r="E105" s="15"/>
      <c r="F105" s="15">
        <f t="shared" si="4"/>
        <v>485180</v>
      </c>
    </row>
    <row r="106" spans="1:6" x14ac:dyDescent="0.25">
      <c r="A106" s="168">
        <v>45075</v>
      </c>
      <c r="B106" s="15">
        <f t="shared" si="5"/>
        <v>485180</v>
      </c>
      <c r="C106" s="15">
        <f t="shared" si="3"/>
        <v>116.57797222222223</v>
      </c>
      <c r="D106" s="15"/>
      <c r="E106" s="15"/>
      <c r="F106" s="15">
        <f t="shared" si="4"/>
        <v>485180</v>
      </c>
    </row>
    <row r="107" spans="1:6" x14ac:dyDescent="0.25">
      <c r="A107" s="168">
        <v>45076</v>
      </c>
      <c r="B107" s="15">
        <f t="shared" si="5"/>
        <v>485180</v>
      </c>
      <c r="C107" s="15">
        <f t="shared" si="3"/>
        <v>116.57797222222223</v>
      </c>
      <c r="D107" s="15"/>
      <c r="E107" s="15"/>
      <c r="F107" s="15">
        <f t="shared" si="4"/>
        <v>485180</v>
      </c>
    </row>
    <row r="108" spans="1:6" x14ac:dyDescent="0.25">
      <c r="A108" s="168">
        <v>45077</v>
      </c>
      <c r="B108" s="15">
        <f t="shared" si="5"/>
        <v>485180</v>
      </c>
      <c r="C108" s="15">
        <f t="shared" si="3"/>
        <v>116.57797222222223</v>
      </c>
      <c r="D108" s="15"/>
      <c r="E108" s="15"/>
      <c r="F108" s="15">
        <f t="shared" si="4"/>
        <v>485180</v>
      </c>
    </row>
    <row r="109" spans="1:6" x14ac:dyDescent="0.25">
      <c r="A109" s="168">
        <v>45078</v>
      </c>
      <c r="B109" s="15">
        <f t="shared" si="5"/>
        <v>485180</v>
      </c>
      <c r="C109" s="15">
        <f t="shared" si="3"/>
        <v>116.57797222222223</v>
      </c>
      <c r="D109" s="15"/>
      <c r="E109" s="15"/>
      <c r="F109" s="15">
        <f t="shared" si="4"/>
        <v>485180</v>
      </c>
    </row>
    <row r="110" spans="1:6" x14ac:dyDescent="0.25">
      <c r="A110" s="168">
        <v>45079</v>
      </c>
      <c r="B110" s="15">
        <f t="shared" si="5"/>
        <v>485180</v>
      </c>
      <c r="C110" s="15">
        <f t="shared" si="3"/>
        <v>116.57797222222223</v>
      </c>
      <c r="D110" s="15"/>
      <c r="E110" s="15"/>
      <c r="F110" s="15">
        <f t="shared" si="4"/>
        <v>485180</v>
      </c>
    </row>
    <row r="111" spans="1:6" x14ac:dyDescent="0.25">
      <c r="A111" s="168">
        <v>45080</v>
      </c>
      <c r="B111" s="15">
        <f t="shared" si="5"/>
        <v>485180</v>
      </c>
      <c r="C111" s="15">
        <f t="shared" si="3"/>
        <v>116.57797222222223</v>
      </c>
      <c r="D111" s="15"/>
      <c r="E111" s="15"/>
      <c r="F111" s="15">
        <f t="shared" si="4"/>
        <v>485180</v>
      </c>
    </row>
    <row r="112" spans="1:6" x14ac:dyDescent="0.25">
      <c r="A112" s="168">
        <v>45081</v>
      </c>
      <c r="B112" s="15">
        <f t="shared" si="5"/>
        <v>485180</v>
      </c>
      <c r="C112" s="15">
        <f t="shared" si="3"/>
        <v>116.57797222222223</v>
      </c>
      <c r="D112" s="15"/>
      <c r="E112" s="15"/>
      <c r="F112" s="15">
        <f t="shared" si="4"/>
        <v>485180</v>
      </c>
    </row>
    <row r="113" spans="1:6" x14ac:dyDescent="0.25">
      <c r="A113" s="168">
        <v>45082</v>
      </c>
      <c r="B113" s="15">
        <f t="shared" si="5"/>
        <v>485180</v>
      </c>
      <c r="C113" s="15">
        <f t="shared" si="3"/>
        <v>116.57797222222223</v>
      </c>
      <c r="D113" s="15"/>
      <c r="E113" s="15"/>
      <c r="F113" s="15">
        <f t="shared" si="4"/>
        <v>485180</v>
      </c>
    </row>
    <row r="114" spans="1:6" x14ac:dyDescent="0.25">
      <c r="A114" s="168">
        <v>45083</v>
      </c>
      <c r="B114" s="15">
        <f t="shared" si="5"/>
        <v>485180</v>
      </c>
      <c r="C114" s="15">
        <f t="shared" si="3"/>
        <v>116.57797222222223</v>
      </c>
      <c r="D114" s="15"/>
      <c r="E114" s="15"/>
      <c r="F114" s="15">
        <f t="shared" si="4"/>
        <v>485180</v>
      </c>
    </row>
    <row r="115" spans="1:6" x14ac:dyDescent="0.25">
      <c r="A115" s="168">
        <v>45084</v>
      </c>
      <c r="B115" s="15">
        <f t="shared" si="5"/>
        <v>485180</v>
      </c>
      <c r="C115" s="15">
        <f t="shared" si="3"/>
        <v>116.57797222222223</v>
      </c>
      <c r="D115" s="15"/>
      <c r="E115" s="15"/>
      <c r="F115" s="15">
        <f t="shared" si="4"/>
        <v>485180</v>
      </c>
    </row>
    <row r="116" spans="1:6" x14ac:dyDescent="0.25">
      <c r="A116" s="168">
        <v>45085</v>
      </c>
      <c r="B116" s="15">
        <f t="shared" si="5"/>
        <v>485180</v>
      </c>
      <c r="C116" s="15">
        <f t="shared" si="3"/>
        <v>116.57797222222223</v>
      </c>
      <c r="D116" s="15"/>
      <c r="E116" s="15"/>
      <c r="F116" s="15">
        <f t="shared" si="4"/>
        <v>485180</v>
      </c>
    </row>
    <row r="117" spans="1:6" x14ac:dyDescent="0.25">
      <c r="A117" s="168">
        <v>45086</v>
      </c>
      <c r="B117" s="15">
        <f t="shared" si="5"/>
        <v>485180</v>
      </c>
      <c r="C117" s="15">
        <f t="shared" si="3"/>
        <v>116.57797222222223</v>
      </c>
      <c r="D117" s="15"/>
      <c r="E117" s="15"/>
      <c r="F117" s="15">
        <f t="shared" si="4"/>
        <v>485180</v>
      </c>
    </row>
    <row r="118" spans="1:6" x14ac:dyDescent="0.25">
      <c r="A118" s="168">
        <v>45087</v>
      </c>
      <c r="B118" s="15">
        <f t="shared" si="5"/>
        <v>485180</v>
      </c>
      <c r="C118" s="15">
        <f t="shared" si="3"/>
        <v>116.57797222222223</v>
      </c>
      <c r="D118" s="15"/>
      <c r="E118" s="15"/>
      <c r="F118" s="15">
        <f t="shared" si="4"/>
        <v>485180</v>
      </c>
    </row>
    <row r="119" spans="1:6" x14ac:dyDescent="0.25">
      <c r="A119" s="168">
        <v>45088</v>
      </c>
      <c r="B119" s="15">
        <f t="shared" si="5"/>
        <v>485180</v>
      </c>
      <c r="C119" s="15">
        <f t="shared" si="3"/>
        <v>116.57797222222223</v>
      </c>
      <c r="D119" s="15"/>
      <c r="E119" s="15"/>
      <c r="F119" s="15">
        <f t="shared" si="4"/>
        <v>485180</v>
      </c>
    </row>
    <row r="120" spans="1:6" x14ac:dyDescent="0.25">
      <c r="A120" s="168">
        <v>45089</v>
      </c>
      <c r="B120" s="15">
        <f t="shared" si="5"/>
        <v>485180</v>
      </c>
      <c r="C120" s="15">
        <f t="shared" si="3"/>
        <v>116.57797222222223</v>
      </c>
      <c r="D120" s="15"/>
      <c r="E120" s="15"/>
      <c r="F120" s="15">
        <f t="shared" si="4"/>
        <v>485180</v>
      </c>
    </row>
    <row r="121" spans="1:6" x14ac:dyDescent="0.25">
      <c r="A121" s="168">
        <v>45090</v>
      </c>
      <c r="B121" s="15">
        <f t="shared" si="5"/>
        <v>485180</v>
      </c>
      <c r="C121" s="15">
        <f t="shared" si="3"/>
        <v>116.57797222222223</v>
      </c>
      <c r="D121" s="15"/>
      <c r="E121" s="15"/>
      <c r="F121" s="15">
        <f t="shared" si="4"/>
        <v>485180</v>
      </c>
    </row>
    <row r="122" spans="1:6" x14ac:dyDescent="0.25">
      <c r="A122" s="168">
        <v>45091</v>
      </c>
      <c r="B122" s="15">
        <f t="shared" si="5"/>
        <v>485180</v>
      </c>
      <c r="C122" s="15">
        <f t="shared" si="3"/>
        <v>116.57797222222223</v>
      </c>
      <c r="D122" s="15"/>
      <c r="E122" s="15"/>
      <c r="F122" s="15">
        <f t="shared" si="4"/>
        <v>485180</v>
      </c>
    </row>
    <row r="123" spans="1:6" x14ac:dyDescent="0.25">
      <c r="A123" s="168">
        <v>45092</v>
      </c>
      <c r="B123" s="15">
        <f t="shared" si="5"/>
        <v>485180</v>
      </c>
      <c r="C123" s="15">
        <f t="shared" si="3"/>
        <v>116.57797222222223</v>
      </c>
      <c r="D123" s="15"/>
      <c r="E123" s="15"/>
      <c r="F123" s="15">
        <f t="shared" si="4"/>
        <v>485180</v>
      </c>
    </row>
    <row r="124" spans="1:6" x14ac:dyDescent="0.25">
      <c r="A124" s="168">
        <v>45093</v>
      </c>
      <c r="B124" s="15">
        <f t="shared" si="5"/>
        <v>485180</v>
      </c>
      <c r="C124" s="15">
        <f t="shared" si="3"/>
        <v>116.57797222222223</v>
      </c>
      <c r="D124" s="15"/>
      <c r="E124" s="15"/>
      <c r="F124" s="15">
        <f t="shared" si="4"/>
        <v>485180</v>
      </c>
    </row>
    <row r="125" spans="1:6" x14ac:dyDescent="0.25">
      <c r="A125" s="168">
        <v>45094</v>
      </c>
      <c r="B125" s="15">
        <f t="shared" si="5"/>
        <v>485180</v>
      </c>
      <c r="C125" s="15">
        <f t="shared" si="3"/>
        <v>116.57797222222223</v>
      </c>
      <c r="D125" s="15"/>
      <c r="E125" s="15"/>
      <c r="F125" s="15">
        <f t="shared" si="4"/>
        <v>485180</v>
      </c>
    </row>
    <row r="126" spans="1:6" x14ac:dyDescent="0.25">
      <c r="A126" s="168">
        <v>45095</v>
      </c>
      <c r="B126" s="15">
        <f t="shared" si="5"/>
        <v>485180</v>
      </c>
      <c r="C126" s="15">
        <f t="shared" si="3"/>
        <v>116.57797222222223</v>
      </c>
      <c r="D126" s="15"/>
      <c r="E126" s="15"/>
      <c r="F126" s="15">
        <f t="shared" si="4"/>
        <v>485180</v>
      </c>
    </row>
    <row r="127" spans="1:6" x14ac:dyDescent="0.25">
      <c r="A127" s="168">
        <v>45096</v>
      </c>
      <c r="B127" s="15">
        <f t="shared" si="5"/>
        <v>485180</v>
      </c>
      <c r="C127" s="15">
        <f t="shared" si="3"/>
        <v>116.57797222222223</v>
      </c>
      <c r="D127" s="15"/>
      <c r="E127" s="15"/>
      <c r="F127" s="15">
        <f t="shared" si="4"/>
        <v>485180</v>
      </c>
    </row>
    <row r="128" spans="1:6" x14ac:dyDescent="0.25">
      <c r="A128" s="168">
        <v>45097</v>
      </c>
      <c r="B128" s="15">
        <f t="shared" si="5"/>
        <v>485180</v>
      </c>
      <c r="C128" s="15">
        <f t="shared" si="3"/>
        <v>116.57797222222223</v>
      </c>
      <c r="D128" s="15"/>
      <c r="E128" s="15"/>
      <c r="F128" s="15">
        <f t="shared" si="4"/>
        <v>485180</v>
      </c>
    </row>
    <row r="129" spans="1:6" x14ac:dyDescent="0.25">
      <c r="A129" s="168">
        <v>45098</v>
      </c>
      <c r="B129" s="15">
        <f t="shared" si="5"/>
        <v>485180</v>
      </c>
      <c r="C129" s="15">
        <f t="shared" si="3"/>
        <v>116.57797222222223</v>
      </c>
      <c r="D129" s="15"/>
      <c r="E129" s="15"/>
      <c r="F129" s="15">
        <f t="shared" si="4"/>
        <v>485180</v>
      </c>
    </row>
    <row r="130" spans="1:6" x14ac:dyDescent="0.25">
      <c r="A130" s="168">
        <v>45099</v>
      </c>
      <c r="B130" s="15">
        <f t="shared" si="5"/>
        <v>485180</v>
      </c>
      <c r="C130" s="15">
        <f t="shared" si="3"/>
        <v>116.57797222222223</v>
      </c>
      <c r="D130" s="15"/>
      <c r="E130" s="15"/>
      <c r="F130" s="15">
        <f t="shared" si="4"/>
        <v>485180</v>
      </c>
    </row>
    <row r="131" spans="1:6" x14ac:dyDescent="0.25">
      <c r="A131" s="168">
        <v>45100</v>
      </c>
      <c r="B131" s="15">
        <f t="shared" si="5"/>
        <v>485180</v>
      </c>
      <c r="C131" s="15">
        <f t="shared" si="3"/>
        <v>116.57797222222223</v>
      </c>
      <c r="D131" s="15"/>
      <c r="E131" s="15"/>
      <c r="F131" s="15">
        <f t="shared" si="4"/>
        <v>485180</v>
      </c>
    </row>
    <row r="132" spans="1:6" x14ac:dyDescent="0.25">
      <c r="A132" s="168">
        <v>45101</v>
      </c>
      <c r="B132" s="15">
        <f t="shared" si="5"/>
        <v>485180</v>
      </c>
      <c r="C132" s="15">
        <f t="shared" ref="C132:C169" si="6">F132*$C$1/36000</f>
        <v>116.57797222222223</v>
      </c>
      <c r="D132" s="15"/>
      <c r="E132" s="15"/>
      <c r="F132" s="15">
        <f t="shared" ref="F132:F169" si="7">B132+D132+E132</f>
        <v>485180</v>
      </c>
    </row>
    <row r="133" spans="1:6" x14ac:dyDescent="0.25">
      <c r="A133" s="168">
        <v>45102</v>
      </c>
      <c r="B133" s="15">
        <f t="shared" ref="B133:B169" si="8">F132</f>
        <v>485180</v>
      </c>
      <c r="C133" s="15">
        <f t="shared" si="6"/>
        <v>116.57797222222223</v>
      </c>
      <c r="D133" s="15"/>
      <c r="E133" s="15"/>
      <c r="F133" s="15">
        <f t="shared" si="7"/>
        <v>485180</v>
      </c>
    </row>
    <row r="134" spans="1:6" x14ac:dyDescent="0.25">
      <c r="A134" s="168">
        <v>45103</v>
      </c>
      <c r="B134" s="15">
        <f t="shared" si="8"/>
        <v>485180</v>
      </c>
      <c r="C134" s="15">
        <f t="shared" si="6"/>
        <v>116.57797222222223</v>
      </c>
      <c r="D134" s="15"/>
      <c r="E134" s="15"/>
      <c r="F134" s="15">
        <f t="shared" si="7"/>
        <v>485180</v>
      </c>
    </row>
    <row r="135" spans="1:6" x14ac:dyDescent="0.25">
      <c r="A135" s="168">
        <v>45104</v>
      </c>
      <c r="B135" s="15">
        <f t="shared" si="8"/>
        <v>485180</v>
      </c>
      <c r="C135" s="15">
        <f t="shared" si="6"/>
        <v>116.57797222222223</v>
      </c>
      <c r="D135" s="15"/>
      <c r="E135" s="15"/>
      <c r="F135" s="15">
        <f t="shared" si="7"/>
        <v>485180</v>
      </c>
    </row>
    <row r="136" spans="1:6" x14ac:dyDescent="0.25">
      <c r="A136" s="168">
        <v>45105</v>
      </c>
      <c r="B136" s="15">
        <f t="shared" si="8"/>
        <v>485180</v>
      </c>
      <c r="C136" s="15">
        <f t="shared" si="6"/>
        <v>116.57797222222223</v>
      </c>
      <c r="D136" s="15"/>
      <c r="E136" s="15"/>
      <c r="F136" s="15">
        <f t="shared" si="7"/>
        <v>485180</v>
      </c>
    </row>
    <row r="137" spans="1:6" x14ac:dyDescent="0.25">
      <c r="A137" s="168">
        <v>45106</v>
      </c>
      <c r="B137" s="15">
        <f t="shared" si="8"/>
        <v>485180</v>
      </c>
      <c r="C137" s="15">
        <f t="shared" si="6"/>
        <v>116.57797222222223</v>
      </c>
      <c r="D137" s="15"/>
      <c r="E137" s="15"/>
      <c r="F137" s="15">
        <f t="shared" si="7"/>
        <v>485180</v>
      </c>
    </row>
    <row r="138" spans="1:6" x14ac:dyDescent="0.25">
      <c r="A138" s="168">
        <v>45107</v>
      </c>
      <c r="B138" s="15">
        <f t="shared" si="8"/>
        <v>485180</v>
      </c>
      <c r="C138" s="15">
        <f t="shared" si="6"/>
        <v>116.57797222222223</v>
      </c>
      <c r="D138" s="15"/>
      <c r="E138" s="15"/>
      <c r="F138" s="15">
        <f t="shared" si="7"/>
        <v>485180</v>
      </c>
    </row>
    <row r="139" spans="1:6" x14ac:dyDescent="0.25">
      <c r="A139" s="168">
        <v>45108</v>
      </c>
      <c r="B139" s="15">
        <f t="shared" si="8"/>
        <v>485180</v>
      </c>
      <c r="C139" s="15">
        <f t="shared" si="6"/>
        <v>116.57797222222223</v>
      </c>
      <c r="D139" s="15"/>
      <c r="E139" s="15"/>
      <c r="F139" s="15">
        <f t="shared" si="7"/>
        <v>485180</v>
      </c>
    </row>
    <row r="140" spans="1:6" x14ac:dyDescent="0.25">
      <c r="A140" s="168">
        <v>45109</v>
      </c>
      <c r="B140" s="15">
        <f t="shared" si="8"/>
        <v>485180</v>
      </c>
      <c r="C140" s="15">
        <f t="shared" si="6"/>
        <v>116.57797222222223</v>
      </c>
      <c r="D140" s="15"/>
      <c r="E140" s="15"/>
      <c r="F140" s="15">
        <f t="shared" si="7"/>
        <v>485180</v>
      </c>
    </row>
    <row r="141" spans="1:6" x14ac:dyDescent="0.25">
      <c r="A141" s="168">
        <v>45110</v>
      </c>
      <c r="B141" s="15">
        <f t="shared" si="8"/>
        <v>485180</v>
      </c>
      <c r="C141" s="15">
        <f t="shared" si="6"/>
        <v>116.57797222222223</v>
      </c>
      <c r="D141" s="15"/>
      <c r="E141" s="15"/>
      <c r="F141" s="15">
        <f t="shared" si="7"/>
        <v>485180</v>
      </c>
    </row>
    <row r="142" spans="1:6" x14ac:dyDescent="0.25">
      <c r="A142" s="168">
        <v>45111</v>
      </c>
      <c r="B142" s="15">
        <f t="shared" si="8"/>
        <v>485180</v>
      </c>
      <c r="C142" s="15">
        <f t="shared" si="6"/>
        <v>116.57797222222223</v>
      </c>
      <c r="D142" s="15"/>
      <c r="E142" s="15"/>
      <c r="F142" s="15">
        <f t="shared" si="7"/>
        <v>485180</v>
      </c>
    </row>
    <row r="143" spans="1:6" x14ac:dyDescent="0.25">
      <c r="A143" s="168">
        <v>45112</v>
      </c>
      <c r="B143" s="15">
        <f t="shared" si="8"/>
        <v>485180</v>
      </c>
      <c r="C143" s="15">
        <f t="shared" si="6"/>
        <v>116.57797222222223</v>
      </c>
      <c r="D143" s="15"/>
      <c r="E143" s="15"/>
      <c r="F143" s="15">
        <f t="shared" si="7"/>
        <v>485180</v>
      </c>
    </row>
    <row r="144" spans="1:6" x14ac:dyDescent="0.25">
      <c r="A144" s="168">
        <v>45113</v>
      </c>
      <c r="B144" s="15">
        <f t="shared" si="8"/>
        <v>485180</v>
      </c>
      <c r="C144" s="15">
        <f t="shared" si="6"/>
        <v>116.57797222222223</v>
      </c>
      <c r="D144" s="15"/>
      <c r="E144" s="15"/>
      <c r="F144" s="15">
        <f t="shared" si="7"/>
        <v>485180</v>
      </c>
    </row>
    <row r="145" spans="1:6" x14ac:dyDescent="0.25">
      <c r="A145" s="168">
        <v>45114</v>
      </c>
      <c r="B145" s="15">
        <f t="shared" si="8"/>
        <v>485180</v>
      </c>
      <c r="C145" s="15">
        <f t="shared" si="6"/>
        <v>116.57797222222223</v>
      </c>
      <c r="D145" s="15"/>
      <c r="E145" s="15"/>
      <c r="F145" s="15">
        <f t="shared" si="7"/>
        <v>485180</v>
      </c>
    </row>
    <row r="146" spans="1:6" x14ac:dyDescent="0.25">
      <c r="A146" s="168">
        <v>45115</v>
      </c>
      <c r="B146" s="15">
        <f t="shared" si="8"/>
        <v>485180</v>
      </c>
      <c r="C146" s="15">
        <f t="shared" si="6"/>
        <v>116.57797222222223</v>
      </c>
      <c r="D146" s="15"/>
      <c r="E146" s="15"/>
      <c r="F146" s="15">
        <f t="shared" si="7"/>
        <v>485180</v>
      </c>
    </row>
    <row r="147" spans="1:6" x14ac:dyDescent="0.25">
      <c r="A147" s="168">
        <v>45116</v>
      </c>
      <c r="B147" s="15">
        <f t="shared" si="8"/>
        <v>485180</v>
      </c>
      <c r="C147" s="15">
        <f t="shared" si="6"/>
        <v>116.57797222222223</v>
      </c>
      <c r="D147" s="15"/>
      <c r="E147" s="15"/>
      <c r="F147" s="15">
        <f t="shared" si="7"/>
        <v>485180</v>
      </c>
    </row>
    <row r="148" spans="1:6" x14ac:dyDescent="0.25">
      <c r="A148" s="168">
        <v>45117</v>
      </c>
      <c r="B148" s="15">
        <f t="shared" si="8"/>
        <v>485180</v>
      </c>
      <c r="C148" s="15">
        <f t="shared" si="6"/>
        <v>116.57797222222223</v>
      </c>
      <c r="D148" s="15"/>
      <c r="E148" s="15"/>
      <c r="F148" s="15">
        <f t="shared" si="7"/>
        <v>485180</v>
      </c>
    </row>
    <row r="149" spans="1:6" x14ac:dyDescent="0.25">
      <c r="A149" s="168">
        <v>45118</v>
      </c>
      <c r="B149" s="15">
        <f t="shared" si="8"/>
        <v>485180</v>
      </c>
      <c r="C149" s="15">
        <f t="shared" si="6"/>
        <v>116.57797222222223</v>
      </c>
      <c r="D149" s="15"/>
      <c r="E149" s="15"/>
      <c r="F149" s="15">
        <f t="shared" si="7"/>
        <v>485180</v>
      </c>
    </row>
    <row r="150" spans="1:6" x14ac:dyDescent="0.25">
      <c r="A150" s="168">
        <v>45119</v>
      </c>
      <c r="B150" s="15">
        <f t="shared" si="8"/>
        <v>485180</v>
      </c>
      <c r="C150" s="15">
        <f t="shared" si="6"/>
        <v>116.57797222222223</v>
      </c>
      <c r="D150" s="15"/>
      <c r="E150" s="15"/>
      <c r="F150" s="15">
        <f t="shared" si="7"/>
        <v>485180</v>
      </c>
    </row>
    <row r="151" spans="1:6" x14ac:dyDescent="0.25">
      <c r="A151" s="168">
        <v>45120</v>
      </c>
      <c r="B151" s="15">
        <f t="shared" si="8"/>
        <v>485180</v>
      </c>
      <c r="C151" s="15">
        <f t="shared" si="6"/>
        <v>116.57797222222223</v>
      </c>
      <c r="D151" s="15"/>
      <c r="E151" s="15"/>
      <c r="F151" s="15">
        <f t="shared" si="7"/>
        <v>485180</v>
      </c>
    </row>
    <row r="152" spans="1:6" x14ac:dyDescent="0.25">
      <c r="A152" s="168">
        <v>45121</v>
      </c>
      <c r="B152" s="15">
        <f t="shared" si="8"/>
        <v>485180</v>
      </c>
      <c r="C152" s="15">
        <f t="shared" si="6"/>
        <v>116.57797222222223</v>
      </c>
      <c r="D152" s="15"/>
      <c r="E152" s="15"/>
      <c r="F152" s="15">
        <f t="shared" si="7"/>
        <v>485180</v>
      </c>
    </row>
    <row r="153" spans="1:6" x14ac:dyDescent="0.25">
      <c r="A153" s="168">
        <v>45122</v>
      </c>
      <c r="B153" s="15">
        <f t="shared" si="8"/>
        <v>485180</v>
      </c>
      <c r="C153" s="15">
        <f t="shared" si="6"/>
        <v>116.57797222222223</v>
      </c>
      <c r="D153" s="15"/>
      <c r="E153" s="15"/>
      <c r="F153" s="15">
        <f t="shared" si="7"/>
        <v>485180</v>
      </c>
    </row>
    <row r="154" spans="1:6" x14ac:dyDescent="0.25">
      <c r="A154" s="168">
        <v>45123</v>
      </c>
      <c r="B154" s="15">
        <f t="shared" si="8"/>
        <v>485180</v>
      </c>
      <c r="C154" s="15">
        <f t="shared" si="6"/>
        <v>116.57797222222223</v>
      </c>
      <c r="D154" s="15"/>
      <c r="E154" s="15"/>
      <c r="F154" s="15">
        <f t="shared" si="7"/>
        <v>485180</v>
      </c>
    </row>
    <row r="155" spans="1:6" x14ac:dyDescent="0.25">
      <c r="A155" s="168">
        <v>45124</v>
      </c>
      <c r="B155" s="15">
        <f t="shared" si="8"/>
        <v>485180</v>
      </c>
      <c r="C155" s="15">
        <f t="shared" si="6"/>
        <v>116.57797222222223</v>
      </c>
      <c r="D155" s="15"/>
      <c r="E155" s="15"/>
      <c r="F155" s="15">
        <f t="shared" si="7"/>
        <v>485180</v>
      </c>
    </row>
    <row r="156" spans="1:6" x14ac:dyDescent="0.25">
      <c r="A156" s="168">
        <v>45125</v>
      </c>
      <c r="B156" s="15">
        <f t="shared" si="8"/>
        <v>485180</v>
      </c>
      <c r="C156" s="15">
        <f t="shared" si="6"/>
        <v>116.57797222222223</v>
      </c>
      <c r="D156" s="15"/>
      <c r="E156" s="15"/>
      <c r="F156" s="15">
        <f t="shared" si="7"/>
        <v>485180</v>
      </c>
    </row>
    <row r="157" spans="1:6" x14ac:dyDescent="0.25">
      <c r="A157" s="168">
        <v>45126</v>
      </c>
      <c r="B157" s="15">
        <f t="shared" si="8"/>
        <v>485180</v>
      </c>
      <c r="C157" s="15">
        <f t="shared" si="6"/>
        <v>116.57797222222223</v>
      </c>
      <c r="D157" s="15"/>
      <c r="E157" s="15"/>
      <c r="F157" s="15">
        <f t="shared" si="7"/>
        <v>485180</v>
      </c>
    </row>
    <row r="158" spans="1:6" x14ac:dyDescent="0.25">
      <c r="A158" s="168">
        <v>45127</v>
      </c>
      <c r="B158" s="15">
        <f t="shared" si="8"/>
        <v>485180</v>
      </c>
      <c r="C158" s="15">
        <f t="shared" si="6"/>
        <v>116.57797222222223</v>
      </c>
      <c r="D158" s="15"/>
      <c r="E158" s="15"/>
      <c r="F158" s="15">
        <f t="shared" si="7"/>
        <v>485180</v>
      </c>
    </row>
    <row r="159" spans="1:6" x14ac:dyDescent="0.25">
      <c r="A159" s="168">
        <v>45128</v>
      </c>
      <c r="B159" s="15">
        <f t="shared" si="8"/>
        <v>485180</v>
      </c>
      <c r="C159" s="15">
        <f t="shared" si="6"/>
        <v>116.57797222222223</v>
      </c>
      <c r="D159" s="15"/>
      <c r="E159" s="15"/>
      <c r="F159" s="15">
        <f t="shared" si="7"/>
        <v>485180</v>
      </c>
    </row>
    <row r="160" spans="1:6" x14ac:dyDescent="0.25">
      <c r="A160" s="168">
        <v>45129</v>
      </c>
      <c r="B160" s="15">
        <f t="shared" si="8"/>
        <v>485180</v>
      </c>
      <c r="C160" s="15">
        <f t="shared" si="6"/>
        <v>116.57797222222223</v>
      </c>
      <c r="D160" s="15"/>
      <c r="E160" s="15"/>
      <c r="F160" s="15">
        <f t="shared" si="7"/>
        <v>485180</v>
      </c>
    </row>
    <row r="161" spans="1:6" x14ac:dyDescent="0.25">
      <c r="A161" s="168">
        <v>45130</v>
      </c>
      <c r="B161" s="15">
        <f t="shared" si="8"/>
        <v>485180</v>
      </c>
      <c r="C161" s="15">
        <f t="shared" si="6"/>
        <v>116.57797222222223</v>
      </c>
      <c r="D161" s="15"/>
      <c r="E161" s="15"/>
      <c r="F161" s="15">
        <f t="shared" si="7"/>
        <v>485180</v>
      </c>
    </row>
    <row r="162" spans="1:6" x14ac:dyDescent="0.25">
      <c r="A162" s="168">
        <v>45131</v>
      </c>
      <c r="B162" s="15">
        <f t="shared" si="8"/>
        <v>485180</v>
      </c>
      <c r="C162" s="15">
        <f t="shared" si="6"/>
        <v>116.57797222222223</v>
      </c>
      <c r="D162" s="15"/>
      <c r="E162" s="15"/>
      <c r="F162" s="15">
        <f t="shared" si="7"/>
        <v>485180</v>
      </c>
    </row>
    <row r="163" spans="1:6" x14ac:dyDescent="0.25">
      <c r="A163" s="168">
        <v>45132</v>
      </c>
      <c r="B163" s="15">
        <f t="shared" si="8"/>
        <v>485180</v>
      </c>
      <c r="C163" s="15">
        <f t="shared" si="6"/>
        <v>116.57797222222223</v>
      </c>
      <c r="D163" s="15"/>
      <c r="E163" s="15"/>
      <c r="F163" s="15">
        <f t="shared" si="7"/>
        <v>485180</v>
      </c>
    </row>
    <row r="164" spans="1:6" x14ac:dyDescent="0.25">
      <c r="A164" s="168">
        <v>45133</v>
      </c>
      <c r="B164" s="15">
        <f t="shared" si="8"/>
        <v>485180</v>
      </c>
      <c r="C164" s="15">
        <f t="shared" si="6"/>
        <v>116.57797222222223</v>
      </c>
      <c r="D164" s="15"/>
      <c r="E164" s="15"/>
      <c r="F164" s="15">
        <f t="shared" si="7"/>
        <v>485180</v>
      </c>
    </row>
    <row r="165" spans="1:6" x14ac:dyDescent="0.25">
      <c r="A165" s="168">
        <v>45134</v>
      </c>
      <c r="B165" s="15">
        <f t="shared" si="8"/>
        <v>485180</v>
      </c>
      <c r="C165" s="15">
        <f t="shared" si="6"/>
        <v>116.57797222222223</v>
      </c>
      <c r="D165" s="15"/>
      <c r="E165" s="15"/>
      <c r="F165" s="15">
        <f t="shared" si="7"/>
        <v>485180</v>
      </c>
    </row>
    <row r="166" spans="1:6" x14ac:dyDescent="0.25">
      <c r="A166" s="168">
        <v>45135</v>
      </c>
      <c r="B166" s="15">
        <f t="shared" si="8"/>
        <v>485180</v>
      </c>
      <c r="C166" s="15">
        <f t="shared" si="6"/>
        <v>116.57797222222223</v>
      </c>
      <c r="D166" s="15"/>
      <c r="E166" s="15"/>
      <c r="F166" s="15">
        <f t="shared" si="7"/>
        <v>485180</v>
      </c>
    </row>
    <row r="167" spans="1:6" x14ac:dyDescent="0.25">
      <c r="A167" s="168">
        <v>45136</v>
      </c>
      <c r="B167" s="15">
        <f t="shared" si="8"/>
        <v>485180</v>
      </c>
      <c r="C167" s="15">
        <f t="shared" si="6"/>
        <v>116.57797222222223</v>
      </c>
      <c r="D167" s="15"/>
      <c r="E167" s="15"/>
      <c r="F167" s="15">
        <f t="shared" si="7"/>
        <v>485180</v>
      </c>
    </row>
    <row r="168" spans="1:6" x14ac:dyDescent="0.25">
      <c r="A168" s="168">
        <v>45137</v>
      </c>
      <c r="B168" s="15">
        <f t="shared" si="8"/>
        <v>485180</v>
      </c>
      <c r="C168" s="15">
        <f t="shared" si="6"/>
        <v>116.57797222222223</v>
      </c>
      <c r="D168" s="15"/>
      <c r="E168" s="15"/>
      <c r="F168" s="15">
        <f t="shared" si="7"/>
        <v>485180</v>
      </c>
    </row>
    <row r="169" spans="1:6" x14ac:dyDescent="0.25">
      <c r="A169" s="168">
        <v>45138</v>
      </c>
      <c r="B169" s="15">
        <f t="shared" si="8"/>
        <v>485180</v>
      </c>
      <c r="C169" s="15">
        <f t="shared" si="6"/>
        <v>116.57797222222223</v>
      </c>
      <c r="D169" s="15"/>
      <c r="E169" s="15"/>
      <c r="F169" s="15">
        <f t="shared" si="7"/>
        <v>485180</v>
      </c>
    </row>
  </sheetData>
  <mergeCells count="1">
    <mergeCell ref="A1:B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46CB-B469-462A-A7B2-195AC61EC37D}">
  <dimension ref="A1:O169"/>
  <sheetViews>
    <sheetView workbookViewId="0">
      <selection activeCell="D30" sqref="D30"/>
    </sheetView>
  </sheetViews>
  <sheetFormatPr defaultRowHeight="15" x14ac:dyDescent="0.25"/>
  <cols>
    <col min="1" max="1" width="10.140625" bestFit="1" customWidth="1"/>
    <col min="2" max="6" width="11.7109375" customWidth="1"/>
    <col min="9" max="9" width="9.5703125" bestFit="1" customWidth="1"/>
  </cols>
  <sheetData>
    <row r="1" spans="1:15" x14ac:dyDescent="0.25">
      <c r="C1">
        <v>8.65</v>
      </c>
    </row>
    <row r="2" spans="1:15" x14ac:dyDescent="0.25">
      <c r="A2" s="17" t="s">
        <v>1</v>
      </c>
      <c r="B2" s="17" t="s">
        <v>352</v>
      </c>
      <c r="C2" s="17" t="s">
        <v>17</v>
      </c>
      <c r="D2" s="17" t="s">
        <v>740</v>
      </c>
      <c r="E2" s="17" t="s">
        <v>741</v>
      </c>
      <c r="F2" s="17" t="s">
        <v>0</v>
      </c>
      <c r="G2" s="479" t="s">
        <v>297</v>
      </c>
    </row>
    <row r="3" spans="1:15" x14ac:dyDescent="0.25">
      <c r="A3" s="168">
        <v>44972</v>
      </c>
      <c r="B3" s="15">
        <v>962000</v>
      </c>
      <c r="C3" s="15">
        <f>B3*$C$1/36000</f>
        <v>231.14722222222221</v>
      </c>
      <c r="D3" s="15"/>
      <c r="E3" s="15"/>
      <c r="F3" s="15">
        <f>B3+C3+D3+E3</f>
        <v>962231.14722222218</v>
      </c>
      <c r="G3" s="11">
        <f>F3-$B$3</f>
        <v>231.14722222217824</v>
      </c>
    </row>
    <row r="4" spans="1:15" x14ac:dyDescent="0.25">
      <c r="A4" s="168">
        <v>44973</v>
      </c>
      <c r="B4" s="15">
        <f>F3</f>
        <v>962231.14722222218</v>
      </c>
      <c r="C4" s="15">
        <f t="shared" ref="C4:C67" si="0">B4*$C$1/36000</f>
        <v>231.20276176311728</v>
      </c>
      <c r="D4" s="15"/>
      <c r="E4" s="15"/>
      <c r="F4" s="15">
        <f t="shared" ref="F4:F67" si="1">B4+C4+D4+E4</f>
        <v>962462.3499839853</v>
      </c>
      <c r="G4" s="11">
        <f t="shared" ref="G4:G67" si="2">F4-$B$3</f>
        <v>462.34998398530297</v>
      </c>
      <c r="M4">
        <v>688000</v>
      </c>
      <c r="N4">
        <f>M4*9.3/1200</f>
        <v>5332.0000000000009</v>
      </c>
      <c r="O4">
        <f>N4/30</f>
        <v>177.73333333333338</v>
      </c>
    </row>
    <row r="5" spans="1:15" x14ac:dyDescent="0.25">
      <c r="A5" s="168">
        <v>44974</v>
      </c>
      <c r="B5" s="15">
        <f t="shared" ref="B5:B68" si="3">F4</f>
        <v>962462.3499839853</v>
      </c>
      <c r="C5" s="15">
        <f t="shared" si="0"/>
        <v>231.2583146489298</v>
      </c>
      <c r="D5" s="15"/>
      <c r="E5" s="15"/>
      <c r="F5" s="15">
        <f t="shared" si="1"/>
        <v>962693.60829863418</v>
      </c>
      <c r="G5" s="11">
        <f t="shared" si="2"/>
        <v>693.60829863417894</v>
      </c>
      <c r="M5">
        <v>688000</v>
      </c>
      <c r="N5">
        <f>M5*9.3/1200</f>
        <v>5332.0000000000009</v>
      </c>
    </row>
    <row r="6" spans="1:15" x14ac:dyDescent="0.25">
      <c r="A6" s="168">
        <v>44975</v>
      </c>
      <c r="B6" s="15">
        <f t="shared" si="3"/>
        <v>962693.60829863418</v>
      </c>
      <c r="C6" s="15">
        <f t="shared" si="0"/>
        <v>231.31388088286627</v>
      </c>
      <c r="D6" s="15"/>
      <c r="E6" s="15"/>
      <c r="F6" s="15">
        <f t="shared" si="1"/>
        <v>962924.9221795171</v>
      </c>
      <c r="G6" s="11">
        <f t="shared" si="2"/>
        <v>924.92217951710336</v>
      </c>
    </row>
    <row r="7" spans="1:15" x14ac:dyDescent="0.25">
      <c r="A7" s="168">
        <v>44976</v>
      </c>
      <c r="B7" s="15">
        <f t="shared" si="3"/>
        <v>962924.9221795171</v>
      </c>
      <c r="C7" s="15">
        <f t="shared" si="0"/>
        <v>231.36946046813398</v>
      </c>
      <c r="D7" s="15"/>
      <c r="E7" s="15"/>
      <c r="F7" s="15">
        <f t="shared" si="1"/>
        <v>963156.29163998528</v>
      </c>
      <c r="G7" s="11">
        <f t="shared" si="2"/>
        <v>1156.2916399852838</v>
      </c>
    </row>
    <row r="8" spans="1:15" x14ac:dyDescent="0.25">
      <c r="A8" s="168">
        <v>44977</v>
      </c>
      <c r="B8" s="15">
        <f t="shared" si="3"/>
        <v>963156.29163998528</v>
      </c>
      <c r="C8" s="15">
        <f t="shared" si="0"/>
        <v>231.42505340794091</v>
      </c>
      <c r="D8" s="15"/>
      <c r="E8" s="15"/>
      <c r="F8" s="15">
        <f t="shared" si="1"/>
        <v>963387.71669339319</v>
      </c>
      <c r="G8" s="11">
        <f t="shared" si="2"/>
        <v>1387.7166933931876</v>
      </c>
    </row>
    <row r="9" spans="1:15" x14ac:dyDescent="0.25">
      <c r="A9" s="168">
        <v>44978</v>
      </c>
      <c r="B9" s="15">
        <f t="shared" si="3"/>
        <v>963387.71669339319</v>
      </c>
      <c r="C9" s="15">
        <f t="shared" si="0"/>
        <v>231.48065970549587</v>
      </c>
      <c r="D9" s="15"/>
      <c r="E9" s="15"/>
      <c r="F9" s="15">
        <f t="shared" si="1"/>
        <v>963619.19735309866</v>
      </c>
      <c r="G9" s="11">
        <f t="shared" si="2"/>
        <v>1619.1973530986579</v>
      </c>
    </row>
    <row r="10" spans="1:15" x14ac:dyDescent="0.25">
      <c r="A10" s="168">
        <v>44979</v>
      </c>
      <c r="B10" s="15">
        <f t="shared" si="3"/>
        <v>963619.19735309866</v>
      </c>
      <c r="C10" s="15">
        <f t="shared" si="0"/>
        <v>231.53627936400844</v>
      </c>
      <c r="D10" s="15"/>
      <c r="E10" s="15"/>
      <c r="F10" s="15">
        <f t="shared" si="1"/>
        <v>963850.73363246268</v>
      </c>
      <c r="G10" s="11">
        <f t="shared" si="2"/>
        <v>1850.7336324626813</v>
      </c>
    </row>
    <row r="11" spans="1:15" x14ac:dyDescent="0.25">
      <c r="A11" s="168">
        <v>44980</v>
      </c>
      <c r="B11" s="15">
        <f t="shared" si="3"/>
        <v>963850.73363246268</v>
      </c>
      <c r="C11" s="15">
        <f t="shared" si="0"/>
        <v>231.59191238668896</v>
      </c>
      <c r="D11" s="15"/>
      <c r="E11" s="15"/>
      <c r="F11" s="15">
        <f t="shared" si="1"/>
        <v>964082.32554484939</v>
      </c>
      <c r="G11" s="11">
        <f t="shared" si="2"/>
        <v>2082.3255448493874</v>
      </c>
    </row>
    <row r="12" spans="1:15" x14ac:dyDescent="0.25">
      <c r="A12" s="168">
        <v>44981</v>
      </c>
      <c r="B12" s="15">
        <f t="shared" si="3"/>
        <v>964082.32554484939</v>
      </c>
      <c r="C12" s="15">
        <f t="shared" si="0"/>
        <v>231.64755877674855</v>
      </c>
      <c r="D12" s="15"/>
      <c r="E12" s="15"/>
      <c r="F12" s="15">
        <f t="shared" si="1"/>
        <v>964313.97310362617</v>
      </c>
      <c r="G12" s="11">
        <f t="shared" si="2"/>
        <v>2313.9731036261655</v>
      </c>
      <c r="J12" s="11">
        <f>SUM(C3:C46)</f>
        <v>10203.938458532644</v>
      </c>
    </row>
    <row r="13" spans="1:15" x14ac:dyDescent="0.25">
      <c r="A13" s="168">
        <v>44982</v>
      </c>
      <c r="B13" s="15">
        <f t="shared" si="3"/>
        <v>964313.97310362617</v>
      </c>
      <c r="C13" s="15">
        <f t="shared" si="0"/>
        <v>231.70321853739907</v>
      </c>
      <c r="D13" s="15"/>
      <c r="E13" s="15"/>
      <c r="F13" s="15">
        <f t="shared" si="1"/>
        <v>964545.67632216355</v>
      </c>
      <c r="G13" s="11">
        <f t="shared" si="2"/>
        <v>2545.6763221635483</v>
      </c>
    </row>
    <row r="14" spans="1:15" x14ac:dyDescent="0.25">
      <c r="A14" s="168">
        <v>44983</v>
      </c>
      <c r="B14" s="15">
        <f t="shared" si="3"/>
        <v>964545.67632216355</v>
      </c>
      <c r="C14" s="15">
        <f t="shared" si="0"/>
        <v>231.75889167185318</v>
      </c>
      <c r="D14" s="15"/>
      <c r="E14" s="15"/>
      <c r="F14" s="15">
        <f t="shared" si="1"/>
        <v>964777.43521383544</v>
      </c>
      <c r="G14" s="11">
        <f t="shared" si="2"/>
        <v>2777.4352138354443</v>
      </c>
    </row>
    <row r="15" spans="1:15" x14ac:dyDescent="0.25">
      <c r="A15" s="168">
        <v>44984</v>
      </c>
      <c r="B15" s="15">
        <f t="shared" si="3"/>
        <v>964777.43521383544</v>
      </c>
      <c r="C15" s="15">
        <f t="shared" si="0"/>
        <v>231.81457818332436</v>
      </c>
      <c r="D15" s="15"/>
      <c r="E15" s="15"/>
      <c r="F15" s="15">
        <f t="shared" si="1"/>
        <v>965009.24979201879</v>
      </c>
      <c r="G15" s="11">
        <f t="shared" si="2"/>
        <v>3009.2497920187889</v>
      </c>
    </row>
    <row r="16" spans="1:15" x14ac:dyDescent="0.25">
      <c r="A16" s="168">
        <v>44985</v>
      </c>
      <c r="B16" s="15">
        <f t="shared" si="3"/>
        <v>965009.24979201879</v>
      </c>
      <c r="C16" s="15">
        <f t="shared" si="0"/>
        <v>231.87027807502673</v>
      </c>
      <c r="D16" s="15"/>
      <c r="E16" s="15"/>
      <c r="F16" s="15">
        <f t="shared" si="1"/>
        <v>965241.12007009378</v>
      </c>
      <c r="G16" s="11">
        <f t="shared" si="2"/>
        <v>3241.120070093777</v>
      </c>
    </row>
    <row r="17" spans="1:9" x14ac:dyDescent="0.25">
      <c r="A17" s="168">
        <v>44986</v>
      </c>
      <c r="B17" s="15">
        <f t="shared" si="3"/>
        <v>965241.12007009378</v>
      </c>
      <c r="C17" s="15">
        <f t="shared" si="0"/>
        <v>231.92599135017531</v>
      </c>
      <c r="D17" s="15"/>
      <c r="E17" s="15"/>
      <c r="F17" s="15">
        <f t="shared" si="1"/>
        <v>965473.04606144398</v>
      </c>
      <c r="G17" s="11">
        <f t="shared" si="2"/>
        <v>3473.0460614439799</v>
      </c>
    </row>
    <row r="18" spans="1:9" x14ac:dyDescent="0.25">
      <c r="A18" s="168">
        <v>44987</v>
      </c>
      <c r="B18" s="15">
        <f t="shared" si="3"/>
        <v>965473.04606144398</v>
      </c>
      <c r="C18" s="15">
        <f t="shared" si="0"/>
        <v>231.98171801198583</v>
      </c>
      <c r="D18" s="15"/>
      <c r="E18" s="15"/>
      <c r="F18" s="15">
        <f t="shared" si="1"/>
        <v>965705.027779456</v>
      </c>
      <c r="G18" s="11">
        <f t="shared" si="2"/>
        <v>3705.0277794559952</v>
      </c>
      <c r="I18" s="11"/>
    </row>
    <row r="19" spans="1:9" x14ac:dyDescent="0.25">
      <c r="A19" s="168">
        <v>44988</v>
      </c>
      <c r="B19" s="15">
        <f t="shared" si="3"/>
        <v>965705.027779456</v>
      </c>
      <c r="C19" s="15">
        <f t="shared" si="0"/>
        <v>232.03745806367485</v>
      </c>
      <c r="D19" s="15"/>
      <c r="E19" s="15"/>
      <c r="F19" s="15">
        <f t="shared" si="1"/>
        <v>965937.06523751968</v>
      </c>
      <c r="G19" s="11">
        <f t="shared" si="2"/>
        <v>3937.0652375196805</v>
      </c>
      <c r="I19" s="11"/>
    </row>
    <row r="20" spans="1:9" x14ac:dyDescent="0.25">
      <c r="A20" s="168">
        <v>44989</v>
      </c>
      <c r="B20" s="15">
        <f t="shared" si="3"/>
        <v>965937.06523751968</v>
      </c>
      <c r="C20" s="15">
        <f t="shared" si="0"/>
        <v>232.0932115084596</v>
      </c>
      <c r="D20" s="15"/>
      <c r="E20" s="15"/>
      <c r="F20" s="15">
        <f t="shared" si="1"/>
        <v>966169.15844902815</v>
      </c>
      <c r="G20" s="11">
        <f t="shared" si="2"/>
        <v>4169.158449028153</v>
      </c>
      <c r="I20" s="11"/>
    </row>
    <row r="21" spans="1:9" x14ac:dyDescent="0.25">
      <c r="A21" s="168">
        <v>44990</v>
      </c>
      <c r="B21" s="15">
        <f t="shared" si="3"/>
        <v>966169.15844902815</v>
      </c>
      <c r="C21" s="15">
        <f t="shared" si="0"/>
        <v>232.14897834955815</v>
      </c>
      <c r="D21" s="15"/>
      <c r="E21" s="15"/>
      <c r="F21" s="15">
        <f t="shared" si="1"/>
        <v>966401.30742737767</v>
      </c>
      <c r="G21" s="11">
        <f t="shared" si="2"/>
        <v>4401.3074273776729</v>
      </c>
      <c r="I21" s="11"/>
    </row>
    <row r="22" spans="1:9" x14ac:dyDescent="0.25">
      <c r="A22" s="168">
        <v>44991</v>
      </c>
      <c r="B22" s="15">
        <f t="shared" si="3"/>
        <v>966401.30742737767</v>
      </c>
      <c r="C22" s="15">
        <f t="shared" si="0"/>
        <v>232.20475859018939</v>
      </c>
      <c r="D22" s="15"/>
      <c r="E22" s="15"/>
      <c r="F22" s="15">
        <f t="shared" si="1"/>
        <v>966633.51218596788</v>
      </c>
      <c r="G22" s="11">
        <f t="shared" si="2"/>
        <v>4633.5121859678766</v>
      </c>
      <c r="I22" s="11"/>
    </row>
    <row r="23" spans="1:9" x14ac:dyDescent="0.25">
      <c r="A23" s="168">
        <v>44992</v>
      </c>
      <c r="B23" s="15">
        <f t="shared" si="3"/>
        <v>966633.51218596788</v>
      </c>
      <c r="C23" s="15">
        <f t="shared" si="0"/>
        <v>232.26055223357284</v>
      </c>
      <c r="D23" s="15"/>
      <c r="E23" s="15"/>
      <c r="F23" s="15">
        <f t="shared" si="1"/>
        <v>966865.77273820143</v>
      </c>
      <c r="G23" s="11">
        <f t="shared" si="2"/>
        <v>4865.7727382014273</v>
      </c>
      <c r="I23" s="11"/>
    </row>
    <row r="24" spans="1:9" x14ac:dyDescent="0.25">
      <c r="A24" s="168">
        <v>44993</v>
      </c>
      <c r="B24" s="15">
        <f t="shared" si="3"/>
        <v>966865.77273820143</v>
      </c>
      <c r="C24" s="15">
        <f t="shared" si="0"/>
        <v>232.31635928292897</v>
      </c>
      <c r="D24" s="15"/>
      <c r="E24" s="15"/>
      <c r="F24" s="15">
        <f t="shared" si="1"/>
        <v>967098.08909748436</v>
      </c>
      <c r="G24" s="11">
        <f t="shared" si="2"/>
        <v>5098.0890974843642</v>
      </c>
      <c r="I24" s="11"/>
    </row>
    <row r="25" spans="1:9" x14ac:dyDescent="0.25">
      <c r="A25" s="168">
        <v>44994</v>
      </c>
      <c r="B25" s="15">
        <f t="shared" si="3"/>
        <v>967098.08909748436</v>
      </c>
      <c r="C25" s="15">
        <f t="shared" si="0"/>
        <v>232.37217974147887</v>
      </c>
      <c r="D25" s="15"/>
      <c r="E25" s="15"/>
      <c r="F25" s="15">
        <f t="shared" si="1"/>
        <v>967330.46127722587</v>
      </c>
      <c r="G25" s="11">
        <f t="shared" si="2"/>
        <v>5330.4612772258697</v>
      </c>
      <c r="I25" s="11"/>
    </row>
    <row r="26" spans="1:9" x14ac:dyDescent="0.25">
      <c r="A26" s="168">
        <v>44995</v>
      </c>
      <c r="B26" s="15">
        <f t="shared" si="3"/>
        <v>967330.46127722587</v>
      </c>
      <c r="C26" s="15">
        <f t="shared" si="0"/>
        <v>232.42801361244457</v>
      </c>
      <c r="D26" s="15"/>
      <c r="E26" s="15"/>
      <c r="F26" s="15">
        <f t="shared" si="1"/>
        <v>967562.88929083827</v>
      </c>
      <c r="G26" s="11">
        <f t="shared" si="2"/>
        <v>5562.8892908382695</v>
      </c>
      <c r="I26" s="11"/>
    </row>
    <row r="27" spans="1:9" x14ac:dyDescent="0.25">
      <c r="A27" s="168">
        <v>44996</v>
      </c>
      <c r="B27" s="15">
        <f t="shared" si="3"/>
        <v>967562.88929083827</v>
      </c>
      <c r="C27" s="15">
        <f t="shared" si="0"/>
        <v>232.48386089904864</v>
      </c>
      <c r="D27" s="15"/>
      <c r="E27" s="15"/>
      <c r="F27" s="15">
        <f t="shared" si="1"/>
        <v>967795.37315173727</v>
      </c>
      <c r="G27" s="11">
        <f t="shared" si="2"/>
        <v>5795.3731517372653</v>
      </c>
      <c r="I27" s="11"/>
    </row>
    <row r="28" spans="1:9" x14ac:dyDescent="0.25">
      <c r="A28" s="168">
        <v>44997</v>
      </c>
      <c r="B28" s="15">
        <f t="shared" si="3"/>
        <v>967795.37315173727</v>
      </c>
      <c r="C28" s="15">
        <f t="shared" si="0"/>
        <v>232.53972160451465</v>
      </c>
      <c r="D28" s="15"/>
      <c r="E28" s="15"/>
      <c r="F28" s="15">
        <f t="shared" si="1"/>
        <v>968027.91287334182</v>
      </c>
      <c r="G28" s="11">
        <f t="shared" si="2"/>
        <v>6027.9128733418183</v>
      </c>
      <c r="I28" s="11"/>
    </row>
    <row r="29" spans="1:9" x14ac:dyDescent="0.25">
      <c r="A29" s="168">
        <v>44998</v>
      </c>
      <c r="B29" s="15">
        <f t="shared" si="3"/>
        <v>968027.91287334182</v>
      </c>
      <c r="C29" s="15">
        <f t="shared" si="0"/>
        <v>232.59559573206687</v>
      </c>
      <c r="D29" s="15"/>
      <c r="E29" s="15"/>
      <c r="F29" s="15">
        <f t="shared" si="1"/>
        <v>968260.50846907392</v>
      </c>
      <c r="G29" s="11">
        <f t="shared" si="2"/>
        <v>6260.5084690739168</v>
      </c>
      <c r="I29" s="11"/>
    </row>
    <row r="30" spans="1:9" x14ac:dyDescent="0.25">
      <c r="A30" s="168">
        <v>44999</v>
      </c>
      <c r="B30" s="15">
        <f t="shared" si="3"/>
        <v>968260.50846907392</v>
      </c>
      <c r="C30" s="15">
        <f t="shared" si="0"/>
        <v>232.65148328493026</v>
      </c>
      <c r="D30" s="15">
        <v>-5000</v>
      </c>
      <c r="E30" s="15"/>
      <c r="F30" s="15">
        <f t="shared" si="1"/>
        <v>963493.15995235881</v>
      </c>
      <c r="G30" s="11">
        <f t="shared" si="2"/>
        <v>1493.1599523588084</v>
      </c>
      <c r="I30" s="11"/>
    </row>
    <row r="31" spans="1:9" x14ac:dyDescent="0.25">
      <c r="A31" s="168">
        <v>45000</v>
      </c>
      <c r="B31" s="15">
        <f t="shared" si="3"/>
        <v>963493.15995235881</v>
      </c>
      <c r="C31" s="15">
        <f t="shared" si="0"/>
        <v>231.50599537744179</v>
      </c>
      <c r="D31" s="15"/>
      <c r="E31" s="15"/>
      <c r="F31" s="15">
        <f t="shared" si="1"/>
        <v>963724.66594773624</v>
      </c>
      <c r="G31" s="11">
        <f t="shared" si="2"/>
        <v>1724.6659477362409</v>
      </c>
    </row>
    <row r="32" spans="1:9" x14ac:dyDescent="0.25">
      <c r="A32" s="168">
        <v>45001</v>
      </c>
      <c r="B32" s="15">
        <f t="shared" si="3"/>
        <v>963724.66594773624</v>
      </c>
      <c r="C32" s="15">
        <f t="shared" si="0"/>
        <v>231.56162112355329</v>
      </c>
      <c r="D32" s="15"/>
      <c r="E32" s="15"/>
      <c r="F32" s="15">
        <f t="shared" si="1"/>
        <v>963956.22756885982</v>
      </c>
      <c r="G32" s="11">
        <f t="shared" si="2"/>
        <v>1956.2275688598165</v>
      </c>
    </row>
    <row r="33" spans="1:7" x14ac:dyDescent="0.25">
      <c r="A33" s="168">
        <v>45002</v>
      </c>
      <c r="B33" s="15">
        <f t="shared" si="3"/>
        <v>963956.22756885982</v>
      </c>
      <c r="C33" s="15">
        <f t="shared" si="0"/>
        <v>231.6172602352955</v>
      </c>
      <c r="D33" s="15"/>
      <c r="E33" s="15"/>
      <c r="F33" s="15">
        <f t="shared" si="1"/>
        <v>964187.84482909506</v>
      </c>
      <c r="G33" s="11">
        <f t="shared" si="2"/>
        <v>2187.8448290950619</v>
      </c>
    </row>
    <row r="34" spans="1:7" x14ac:dyDescent="0.25">
      <c r="A34" s="168">
        <v>45003</v>
      </c>
      <c r="B34" s="15">
        <f t="shared" si="3"/>
        <v>964187.84482909506</v>
      </c>
      <c r="C34" s="15">
        <f t="shared" si="0"/>
        <v>231.67291271587979</v>
      </c>
      <c r="D34" s="15"/>
      <c r="E34" s="15"/>
      <c r="F34" s="15">
        <f t="shared" si="1"/>
        <v>964419.517741811</v>
      </c>
      <c r="G34" s="11">
        <f t="shared" si="2"/>
        <v>2419.5177418109961</v>
      </c>
    </row>
    <row r="35" spans="1:7" x14ac:dyDescent="0.25">
      <c r="A35" s="168">
        <v>45004</v>
      </c>
      <c r="B35" s="15">
        <f t="shared" si="3"/>
        <v>964419.517741811</v>
      </c>
      <c r="C35" s="15">
        <f t="shared" si="0"/>
        <v>231.72857856851849</v>
      </c>
      <c r="D35" s="15"/>
      <c r="E35" s="15"/>
      <c r="F35" s="15">
        <f t="shared" si="1"/>
        <v>964651.24632037955</v>
      </c>
      <c r="G35" s="11">
        <f t="shared" si="2"/>
        <v>2651.2463203795487</v>
      </c>
    </row>
    <row r="36" spans="1:7" x14ac:dyDescent="0.25">
      <c r="A36" s="168">
        <v>45005</v>
      </c>
      <c r="B36" s="15">
        <f t="shared" si="3"/>
        <v>964651.24632037955</v>
      </c>
      <c r="C36" s="15">
        <f t="shared" si="0"/>
        <v>231.78425779642455</v>
      </c>
      <c r="D36" s="15"/>
      <c r="E36" s="15"/>
      <c r="F36" s="15">
        <f t="shared" si="1"/>
        <v>964883.03057817603</v>
      </c>
      <c r="G36" s="11">
        <f t="shared" si="2"/>
        <v>2883.0305781760253</v>
      </c>
    </row>
    <row r="37" spans="1:7" x14ac:dyDescent="0.25">
      <c r="A37" s="168">
        <v>45006</v>
      </c>
      <c r="B37" s="15">
        <f t="shared" si="3"/>
        <v>964883.03057817603</v>
      </c>
      <c r="C37" s="15">
        <f t="shared" si="0"/>
        <v>231.83995040281175</v>
      </c>
      <c r="D37" s="15"/>
      <c r="E37" s="15"/>
      <c r="F37" s="15">
        <f t="shared" si="1"/>
        <v>965114.87052857887</v>
      </c>
      <c r="G37" s="11">
        <f t="shared" si="2"/>
        <v>3114.8705285788747</v>
      </c>
    </row>
    <row r="38" spans="1:7" x14ac:dyDescent="0.25">
      <c r="A38" s="168">
        <v>45007</v>
      </c>
      <c r="B38" s="15">
        <f t="shared" si="3"/>
        <v>965114.87052857887</v>
      </c>
      <c r="C38" s="15">
        <f t="shared" si="0"/>
        <v>231.89565639089466</v>
      </c>
      <c r="D38" s="15"/>
      <c r="E38" s="15"/>
      <c r="F38" s="15">
        <f t="shared" si="1"/>
        <v>965346.76618496981</v>
      </c>
      <c r="G38" s="11">
        <f t="shared" si="2"/>
        <v>3346.7661849698052</v>
      </c>
    </row>
    <row r="39" spans="1:7" x14ac:dyDescent="0.25">
      <c r="A39" s="168">
        <v>45008</v>
      </c>
      <c r="B39" s="15">
        <f t="shared" si="3"/>
        <v>965346.76618496981</v>
      </c>
      <c r="C39" s="15">
        <f t="shared" si="0"/>
        <v>231.95137576388859</v>
      </c>
      <c r="D39" s="15"/>
      <c r="E39" s="15"/>
      <c r="F39" s="15">
        <f t="shared" si="1"/>
        <v>965578.71756073367</v>
      </c>
      <c r="G39" s="11">
        <f t="shared" si="2"/>
        <v>3578.7175607336685</v>
      </c>
    </row>
    <row r="40" spans="1:7" x14ac:dyDescent="0.25">
      <c r="A40" s="168">
        <v>45009</v>
      </c>
      <c r="B40" s="15">
        <f t="shared" si="3"/>
        <v>965578.71756073367</v>
      </c>
      <c r="C40" s="15">
        <f t="shared" si="0"/>
        <v>232.00710852500961</v>
      </c>
      <c r="D40" s="15"/>
      <c r="E40" s="15"/>
      <c r="F40" s="15">
        <f t="shared" si="1"/>
        <v>965810.72466925869</v>
      </c>
      <c r="G40" s="11">
        <f t="shared" si="2"/>
        <v>3810.7246692586923</v>
      </c>
    </row>
    <row r="41" spans="1:7" x14ac:dyDescent="0.25">
      <c r="A41" s="168">
        <v>45010</v>
      </c>
      <c r="B41" s="15">
        <f t="shared" si="3"/>
        <v>965810.72466925869</v>
      </c>
      <c r="C41" s="15">
        <f t="shared" si="0"/>
        <v>232.06285467747466</v>
      </c>
      <c r="D41" s="15"/>
      <c r="E41" s="15"/>
      <c r="F41" s="15">
        <f t="shared" si="1"/>
        <v>966042.78752393613</v>
      </c>
      <c r="G41" s="11">
        <f t="shared" si="2"/>
        <v>4042.787523936131</v>
      </c>
    </row>
    <row r="42" spans="1:7" x14ac:dyDescent="0.25">
      <c r="A42" s="168">
        <v>45011</v>
      </c>
      <c r="B42" s="15">
        <f t="shared" si="3"/>
        <v>966042.78752393613</v>
      </c>
      <c r="C42" s="15">
        <f t="shared" si="0"/>
        <v>232.11861422450133</v>
      </c>
      <c r="D42" s="15"/>
      <c r="E42" s="15"/>
      <c r="F42" s="15">
        <f t="shared" si="1"/>
        <v>966274.90613816062</v>
      </c>
      <c r="G42" s="11">
        <f t="shared" si="2"/>
        <v>4274.9061381606152</v>
      </c>
    </row>
    <row r="43" spans="1:7" x14ac:dyDescent="0.25">
      <c r="A43" s="168">
        <v>45012</v>
      </c>
      <c r="B43" s="15">
        <f t="shared" si="3"/>
        <v>966274.90613816062</v>
      </c>
      <c r="C43" s="15">
        <f t="shared" si="0"/>
        <v>232.17438716930806</v>
      </c>
      <c r="D43" s="15"/>
      <c r="E43" s="15"/>
      <c r="F43" s="15">
        <f t="shared" si="1"/>
        <v>966507.08052532992</v>
      </c>
      <c r="G43" s="11">
        <f t="shared" si="2"/>
        <v>4507.0805253299186</v>
      </c>
    </row>
    <row r="44" spans="1:7" x14ac:dyDescent="0.25">
      <c r="A44" s="168">
        <v>45013</v>
      </c>
      <c r="B44" s="15">
        <f t="shared" si="3"/>
        <v>966507.08052532992</v>
      </c>
      <c r="C44" s="15">
        <f t="shared" si="0"/>
        <v>232.23017351511399</v>
      </c>
      <c r="D44" s="15"/>
      <c r="E44" s="15"/>
      <c r="F44" s="15">
        <f t="shared" si="1"/>
        <v>966739.31069884507</v>
      </c>
      <c r="G44" s="11">
        <f t="shared" si="2"/>
        <v>4739.3106988450745</v>
      </c>
    </row>
    <row r="45" spans="1:7" x14ac:dyDescent="0.25">
      <c r="A45" s="168">
        <v>45014</v>
      </c>
      <c r="B45" s="15">
        <f t="shared" si="3"/>
        <v>966739.31069884507</v>
      </c>
      <c r="C45" s="15">
        <f t="shared" si="0"/>
        <v>232.28597326513918</v>
      </c>
      <c r="D45" s="15"/>
      <c r="E45" s="15"/>
      <c r="F45" s="15">
        <f t="shared" si="1"/>
        <v>966971.59667211026</v>
      </c>
      <c r="G45" s="11">
        <f t="shared" si="2"/>
        <v>4971.5966721102595</v>
      </c>
    </row>
    <row r="46" spans="1:7" x14ac:dyDescent="0.25">
      <c r="A46" s="168">
        <v>45015</v>
      </c>
      <c r="B46" s="15">
        <f t="shared" si="3"/>
        <v>966971.59667211026</v>
      </c>
      <c r="C46" s="15">
        <f t="shared" si="0"/>
        <v>232.34178642260429</v>
      </c>
      <c r="D46" s="15"/>
      <c r="E46" s="15"/>
      <c r="F46" s="15">
        <f t="shared" si="1"/>
        <v>967203.93845853291</v>
      </c>
      <c r="G46" s="11">
        <f t="shared" si="2"/>
        <v>5203.9384585329099</v>
      </c>
    </row>
    <row r="47" spans="1:7" x14ac:dyDescent="0.25">
      <c r="A47" s="168">
        <v>45016</v>
      </c>
      <c r="B47" s="15">
        <f t="shared" si="3"/>
        <v>967203.93845853291</v>
      </c>
      <c r="C47" s="15">
        <f t="shared" si="0"/>
        <v>232.39761299073083</v>
      </c>
      <c r="D47" s="15"/>
      <c r="E47" s="15"/>
      <c r="F47" s="15">
        <f t="shared" si="1"/>
        <v>967436.3360715236</v>
      </c>
      <c r="G47" s="11">
        <f t="shared" si="2"/>
        <v>5436.3360715236049</v>
      </c>
    </row>
    <row r="48" spans="1:7" x14ac:dyDescent="0.25">
      <c r="A48" s="168">
        <v>45017</v>
      </c>
      <c r="B48" s="15">
        <f t="shared" si="3"/>
        <v>967436.3360715236</v>
      </c>
      <c r="C48" s="15">
        <f t="shared" si="0"/>
        <v>232.4534529727411</v>
      </c>
      <c r="D48" s="15"/>
      <c r="E48" s="15"/>
      <c r="F48" s="15">
        <f t="shared" si="1"/>
        <v>967668.7895244963</v>
      </c>
      <c r="G48" s="11">
        <f t="shared" si="2"/>
        <v>5668.7895244963001</v>
      </c>
    </row>
    <row r="49" spans="1:7" x14ac:dyDescent="0.25">
      <c r="A49" s="168">
        <v>45018</v>
      </c>
      <c r="B49" s="15">
        <f t="shared" si="3"/>
        <v>967668.7895244963</v>
      </c>
      <c r="C49" s="15">
        <f t="shared" si="0"/>
        <v>232.50930637185814</v>
      </c>
      <c r="D49" s="15"/>
      <c r="E49" s="15"/>
      <c r="F49" s="15">
        <f t="shared" si="1"/>
        <v>967901.29883086821</v>
      </c>
      <c r="G49" s="11">
        <f t="shared" si="2"/>
        <v>5901.2988308682106</v>
      </c>
    </row>
    <row r="50" spans="1:7" x14ac:dyDescent="0.25">
      <c r="A50" s="168">
        <v>45019</v>
      </c>
      <c r="B50" s="15">
        <f t="shared" si="3"/>
        <v>967901.29883086821</v>
      </c>
      <c r="C50" s="15">
        <f t="shared" si="0"/>
        <v>232.56517319130583</v>
      </c>
      <c r="D50" s="15"/>
      <c r="E50" s="15"/>
      <c r="F50" s="15">
        <f t="shared" si="1"/>
        <v>968133.86400405946</v>
      </c>
      <c r="G50" s="11">
        <f t="shared" si="2"/>
        <v>6133.8640040594619</v>
      </c>
    </row>
    <row r="51" spans="1:7" x14ac:dyDescent="0.25">
      <c r="A51" s="168">
        <v>45020</v>
      </c>
      <c r="B51" s="15">
        <f t="shared" si="3"/>
        <v>968133.86400405946</v>
      </c>
      <c r="C51" s="15">
        <f t="shared" si="0"/>
        <v>232.62105343430875</v>
      </c>
      <c r="D51" s="15"/>
      <c r="E51" s="15"/>
      <c r="F51" s="15">
        <f t="shared" si="1"/>
        <v>968366.48505749379</v>
      </c>
      <c r="G51" s="11">
        <f t="shared" si="2"/>
        <v>6366.4850574937882</v>
      </c>
    </row>
    <row r="52" spans="1:7" x14ac:dyDescent="0.25">
      <c r="A52" s="168">
        <v>45021</v>
      </c>
      <c r="B52" s="15">
        <f t="shared" si="3"/>
        <v>968366.48505749379</v>
      </c>
      <c r="C52" s="15">
        <f t="shared" si="0"/>
        <v>232.67694710409228</v>
      </c>
      <c r="D52" s="15"/>
      <c r="E52" s="15"/>
      <c r="F52" s="15">
        <f t="shared" si="1"/>
        <v>968599.16200459783</v>
      </c>
      <c r="G52" s="11">
        <f t="shared" si="2"/>
        <v>6599.1620045978343</v>
      </c>
    </row>
    <row r="53" spans="1:7" x14ac:dyDescent="0.25">
      <c r="A53" s="168">
        <v>45022</v>
      </c>
      <c r="B53" s="15">
        <f t="shared" si="3"/>
        <v>968599.16200459783</v>
      </c>
      <c r="C53" s="15">
        <f t="shared" si="0"/>
        <v>232.73285420388254</v>
      </c>
      <c r="D53" s="15"/>
      <c r="E53" s="15"/>
      <c r="F53" s="15">
        <f t="shared" si="1"/>
        <v>968831.89485880174</v>
      </c>
      <c r="G53" s="11">
        <f t="shared" si="2"/>
        <v>6831.8948588017374</v>
      </c>
    </row>
    <row r="54" spans="1:7" x14ac:dyDescent="0.25">
      <c r="A54" s="168">
        <v>45023</v>
      </c>
      <c r="B54" s="15">
        <f t="shared" si="3"/>
        <v>968831.89485880174</v>
      </c>
      <c r="C54" s="15">
        <f t="shared" si="0"/>
        <v>232.78877473690653</v>
      </c>
      <c r="D54" s="15"/>
      <c r="E54" s="15"/>
      <c r="F54" s="15">
        <f t="shared" si="1"/>
        <v>969064.68363353866</v>
      </c>
      <c r="G54" s="11">
        <f t="shared" si="2"/>
        <v>7064.6836335386615</v>
      </c>
    </row>
    <row r="55" spans="1:7" x14ac:dyDescent="0.25">
      <c r="A55" s="168">
        <v>45024</v>
      </c>
      <c r="B55" s="15">
        <f t="shared" si="3"/>
        <v>969064.68363353866</v>
      </c>
      <c r="C55" s="15">
        <f t="shared" si="0"/>
        <v>232.84470870639194</v>
      </c>
      <c r="D55" s="15"/>
      <c r="E55" s="15"/>
      <c r="F55" s="15">
        <f t="shared" si="1"/>
        <v>969297.52834224503</v>
      </c>
      <c r="G55" s="11">
        <f t="shared" si="2"/>
        <v>7297.5283422450302</v>
      </c>
    </row>
    <row r="56" spans="1:7" x14ac:dyDescent="0.25">
      <c r="A56" s="168">
        <v>45025</v>
      </c>
      <c r="B56" s="15">
        <f t="shared" si="3"/>
        <v>969297.52834224503</v>
      </c>
      <c r="C56" s="15">
        <f t="shared" si="0"/>
        <v>232.90065611556722</v>
      </c>
      <c r="D56" s="15"/>
      <c r="E56" s="15"/>
      <c r="F56" s="15">
        <f t="shared" si="1"/>
        <v>969530.42899836064</v>
      </c>
      <c r="G56" s="11">
        <f t="shared" si="2"/>
        <v>7530.4289983606432</v>
      </c>
    </row>
    <row r="57" spans="1:7" x14ac:dyDescent="0.25">
      <c r="A57" s="168">
        <v>45026</v>
      </c>
      <c r="B57" s="15">
        <f t="shared" si="3"/>
        <v>969530.42899836064</v>
      </c>
      <c r="C57" s="15">
        <f t="shared" si="0"/>
        <v>232.95661696766166</v>
      </c>
      <c r="D57" s="15"/>
      <c r="E57" s="15"/>
      <c r="F57" s="15">
        <f t="shared" si="1"/>
        <v>969763.38561532833</v>
      </c>
      <c r="G57" s="11">
        <f t="shared" si="2"/>
        <v>7763.3856153283268</v>
      </c>
    </row>
    <row r="58" spans="1:7" x14ac:dyDescent="0.25">
      <c r="A58" s="168">
        <v>45027</v>
      </c>
      <c r="B58" s="15">
        <f t="shared" si="3"/>
        <v>969763.38561532833</v>
      </c>
      <c r="C58" s="15">
        <f t="shared" si="0"/>
        <v>233.01259126590529</v>
      </c>
      <c r="D58" s="15"/>
      <c r="E58" s="15"/>
      <c r="F58" s="15">
        <f t="shared" si="1"/>
        <v>969996.39820659428</v>
      </c>
      <c r="G58" s="11">
        <f t="shared" si="2"/>
        <v>7996.3982065942837</v>
      </c>
    </row>
    <row r="59" spans="1:7" x14ac:dyDescent="0.25">
      <c r="A59" s="168">
        <v>45028</v>
      </c>
      <c r="B59" s="15">
        <f t="shared" si="3"/>
        <v>969996.39820659428</v>
      </c>
      <c r="C59" s="15">
        <f t="shared" si="0"/>
        <v>233.06857901352893</v>
      </c>
      <c r="D59" s="15"/>
      <c r="E59" s="15"/>
      <c r="F59" s="15">
        <f t="shared" si="1"/>
        <v>970229.46678560786</v>
      </c>
      <c r="G59" s="11">
        <f t="shared" si="2"/>
        <v>8229.4667856078595</v>
      </c>
    </row>
    <row r="60" spans="1:7" x14ac:dyDescent="0.25">
      <c r="A60" s="168">
        <v>45029</v>
      </c>
      <c r="B60" s="15">
        <f t="shared" si="3"/>
        <v>970229.46678560786</v>
      </c>
      <c r="C60" s="15">
        <f t="shared" si="0"/>
        <v>233.12458021376412</v>
      </c>
      <c r="D60" s="15"/>
      <c r="E60" s="15"/>
      <c r="F60" s="15">
        <f t="shared" si="1"/>
        <v>970462.59136582166</v>
      </c>
      <c r="G60" s="11">
        <f t="shared" si="2"/>
        <v>8462.5913658216596</v>
      </c>
    </row>
    <row r="61" spans="1:7" x14ac:dyDescent="0.25">
      <c r="A61" s="168">
        <v>45030</v>
      </c>
      <c r="B61" s="15">
        <f t="shared" si="3"/>
        <v>970462.59136582166</v>
      </c>
      <c r="C61" s="15">
        <f t="shared" si="0"/>
        <v>233.18059486984328</v>
      </c>
      <c r="D61" s="15"/>
      <c r="E61" s="15"/>
      <c r="F61" s="15">
        <f t="shared" si="1"/>
        <v>970695.77196069155</v>
      </c>
      <c r="G61" s="11">
        <f t="shared" si="2"/>
        <v>8695.7719606915489</v>
      </c>
    </row>
    <row r="62" spans="1:7" x14ac:dyDescent="0.25">
      <c r="A62" s="168">
        <v>45031</v>
      </c>
      <c r="B62" s="15">
        <f t="shared" si="3"/>
        <v>970695.77196069155</v>
      </c>
      <c r="C62" s="15">
        <f t="shared" si="0"/>
        <v>233.23662298499954</v>
      </c>
      <c r="D62" s="15"/>
      <c r="E62" s="15"/>
      <c r="F62" s="15">
        <f t="shared" si="1"/>
        <v>970929.00858367654</v>
      </c>
      <c r="G62" s="11">
        <f t="shared" si="2"/>
        <v>8929.0085836765356</v>
      </c>
    </row>
    <row r="63" spans="1:7" x14ac:dyDescent="0.25">
      <c r="A63" s="168">
        <v>45032</v>
      </c>
      <c r="B63" s="15">
        <f t="shared" si="3"/>
        <v>970929.00858367654</v>
      </c>
      <c r="C63" s="15">
        <f t="shared" si="0"/>
        <v>233.29266456246671</v>
      </c>
      <c r="D63" s="15"/>
      <c r="E63" s="15"/>
      <c r="F63" s="15">
        <f t="shared" si="1"/>
        <v>971162.301248239</v>
      </c>
      <c r="G63" s="11">
        <f t="shared" si="2"/>
        <v>9162.3012482390041</v>
      </c>
    </row>
    <row r="64" spans="1:7" x14ac:dyDescent="0.25">
      <c r="A64" s="168">
        <v>45033</v>
      </c>
      <c r="B64" s="15">
        <f t="shared" si="3"/>
        <v>971162.301248239</v>
      </c>
      <c r="C64" s="15">
        <f t="shared" si="0"/>
        <v>233.34871960547966</v>
      </c>
      <c r="D64" s="15"/>
      <c r="E64" s="15"/>
      <c r="F64" s="15">
        <f t="shared" si="1"/>
        <v>971395.64996784448</v>
      </c>
      <c r="G64" s="11">
        <f t="shared" si="2"/>
        <v>9395.6499678444816</v>
      </c>
    </row>
    <row r="65" spans="1:7" x14ac:dyDescent="0.25">
      <c r="A65" s="168">
        <v>45034</v>
      </c>
      <c r="B65" s="15">
        <f t="shared" si="3"/>
        <v>971395.64996784448</v>
      </c>
      <c r="C65" s="15">
        <f t="shared" si="0"/>
        <v>233.40478811727377</v>
      </c>
      <c r="D65" s="15"/>
      <c r="E65" s="15"/>
      <c r="F65" s="15">
        <f t="shared" si="1"/>
        <v>971629.05475596176</v>
      </c>
      <c r="G65" s="11">
        <f t="shared" si="2"/>
        <v>9629.0547559617553</v>
      </c>
    </row>
    <row r="66" spans="1:7" x14ac:dyDescent="0.25">
      <c r="A66" s="168">
        <v>45035</v>
      </c>
      <c r="B66" s="15">
        <f t="shared" si="3"/>
        <v>971629.05475596176</v>
      </c>
      <c r="C66" s="15">
        <f t="shared" si="0"/>
        <v>233.46087010108525</v>
      </c>
      <c r="D66" s="15"/>
      <c r="E66" s="15"/>
      <c r="F66" s="15">
        <f t="shared" si="1"/>
        <v>971862.51562606287</v>
      </c>
      <c r="G66" s="11">
        <f t="shared" si="2"/>
        <v>9862.5156260628719</v>
      </c>
    </row>
    <row r="67" spans="1:7" x14ac:dyDescent="0.25">
      <c r="A67" s="168">
        <v>45036</v>
      </c>
      <c r="B67" s="15">
        <f t="shared" si="3"/>
        <v>971862.51562606287</v>
      </c>
      <c r="C67" s="15">
        <f t="shared" si="0"/>
        <v>233.51696556015122</v>
      </c>
      <c r="D67" s="15"/>
      <c r="E67" s="15"/>
      <c r="F67" s="15">
        <f t="shared" si="1"/>
        <v>972096.03259162302</v>
      </c>
      <c r="G67" s="11">
        <f t="shared" si="2"/>
        <v>10096.032591623021</v>
      </c>
    </row>
    <row r="68" spans="1:7" x14ac:dyDescent="0.25">
      <c r="A68" s="168">
        <v>45037</v>
      </c>
      <c r="B68" s="15">
        <f t="shared" si="3"/>
        <v>972096.03259162302</v>
      </c>
      <c r="C68" s="15">
        <f t="shared" ref="C68:C131" si="4">B68*$C$1/36000</f>
        <v>233.5730744977094</v>
      </c>
      <c r="D68" s="15"/>
      <c r="E68" s="15"/>
      <c r="F68" s="15">
        <f t="shared" ref="F68:F131" si="5">B68+C68+D68+E68</f>
        <v>972329.60566612077</v>
      </c>
      <c r="G68" s="11">
        <f t="shared" ref="G68:G131" si="6">F68-$B$3</f>
        <v>10329.605666120769</v>
      </c>
    </row>
    <row r="69" spans="1:7" x14ac:dyDescent="0.25">
      <c r="A69" s="168">
        <v>45038</v>
      </c>
      <c r="B69" s="15">
        <f t="shared" ref="B69:B132" si="7">F68</f>
        <v>972329.60566612077</v>
      </c>
      <c r="C69" s="15">
        <f t="shared" si="4"/>
        <v>233.62919691699847</v>
      </c>
      <c r="D69" s="15"/>
      <c r="E69" s="15"/>
      <c r="F69" s="15">
        <f t="shared" si="5"/>
        <v>972563.23486303783</v>
      </c>
      <c r="G69" s="11">
        <f t="shared" si="6"/>
        <v>10563.234863037826</v>
      </c>
    </row>
    <row r="70" spans="1:7" x14ac:dyDescent="0.25">
      <c r="A70" s="168">
        <v>45039</v>
      </c>
      <c r="B70" s="15">
        <f t="shared" si="7"/>
        <v>972563.23486303783</v>
      </c>
      <c r="C70" s="15">
        <f t="shared" si="4"/>
        <v>233.68533282125773</v>
      </c>
      <c r="D70" s="15"/>
      <c r="E70" s="15"/>
      <c r="F70" s="15">
        <f t="shared" si="5"/>
        <v>972796.92019585904</v>
      </c>
      <c r="G70" s="11">
        <f t="shared" si="6"/>
        <v>10796.920195859042</v>
      </c>
    </row>
    <row r="71" spans="1:7" x14ac:dyDescent="0.25">
      <c r="A71" s="168">
        <v>45040</v>
      </c>
      <c r="B71" s="15">
        <f t="shared" si="7"/>
        <v>972796.92019585904</v>
      </c>
      <c r="C71" s="15">
        <f t="shared" si="4"/>
        <v>233.74148221372724</v>
      </c>
      <c r="D71" s="15"/>
      <c r="E71" s="15"/>
      <c r="F71" s="15">
        <f t="shared" si="5"/>
        <v>973030.66167807276</v>
      </c>
      <c r="G71" s="11">
        <f t="shared" si="6"/>
        <v>11030.661678072764</v>
      </c>
    </row>
    <row r="72" spans="1:7" x14ac:dyDescent="0.25">
      <c r="A72" s="168">
        <v>45041</v>
      </c>
      <c r="B72" s="15">
        <f t="shared" si="7"/>
        <v>973030.66167807276</v>
      </c>
      <c r="C72" s="15">
        <f t="shared" si="4"/>
        <v>233.79764509764806</v>
      </c>
      <c r="D72" s="15"/>
      <c r="E72" s="15"/>
      <c r="F72" s="15">
        <f t="shared" si="5"/>
        <v>973264.45932317036</v>
      </c>
      <c r="G72" s="11">
        <f t="shared" si="6"/>
        <v>11264.459323170362</v>
      </c>
    </row>
    <row r="73" spans="1:7" x14ac:dyDescent="0.25">
      <c r="A73" s="168">
        <v>45042</v>
      </c>
      <c r="B73" s="15">
        <f t="shared" si="7"/>
        <v>973264.45932317036</v>
      </c>
      <c r="C73" s="15">
        <f t="shared" si="4"/>
        <v>233.85382147626174</v>
      </c>
      <c r="D73" s="15"/>
      <c r="E73" s="15"/>
      <c r="F73" s="15">
        <f t="shared" si="5"/>
        <v>973498.31314464658</v>
      </c>
      <c r="G73" s="11">
        <f t="shared" si="6"/>
        <v>11498.313144646585</v>
      </c>
    </row>
    <row r="74" spans="1:7" x14ac:dyDescent="0.25">
      <c r="A74" s="168">
        <v>45043</v>
      </c>
      <c r="B74" s="15">
        <f t="shared" si="7"/>
        <v>973498.31314464658</v>
      </c>
      <c r="C74" s="15">
        <f t="shared" si="4"/>
        <v>233.9100113528109</v>
      </c>
      <c r="D74" s="15"/>
      <c r="E74" s="15"/>
      <c r="F74" s="15">
        <f t="shared" si="5"/>
        <v>973732.22315599944</v>
      </c>
      <c r="G74" s="11">
        <f t="shared" si="6"/>
        <v>11732.22315599944</v>
      </c>
    </row>
    <row r="75" spans="1:7" x14ac:dyDescent="0.25">
      <c r="A75" s="168">
        <v>45044</v>
      </c>
      <c r="B75" s="15">
        <f t="shared" si="7"/>
        <v>973732.22315599944</v>
      </c>
      <c r="C75" s="15">
        <f t="shared" si="4"/>
        <v>233.96621473053875</v>
      </c>
      <c r="D75" s="15"/>
      <c r="E75" s="15"/>
      <c r="F75" s="15">
        <f t="shared" si="5"/>
        <v>973966.18937072996</v>
      </c>
      <c r="G75" s="11">
        <f t="shared" si="6"/>
        <v>11966.189370729961</v>
      </c>
    </row>
    <row r="76" spans="1:7" x14ac:dyDescent="0.25">
      <c r="A76" s="168">
        <v>45045</v>
      </c>
      <c r="B76" s="15">
        <f t="shared" si="7"/>
        <v>973966.18937072996</v>
      </c>
      <c r="C76" s="15">
        <f t="shared" si="4"/>
        <v>234.0224316126893</v>
      </c>
      <c r="D76" s="15"/>
      <c r="E76" s="15"/>
      <c r="F76" s="15">
        <f t="shared" si="5"/>
        <v>974200.21180234267</v>
      </c>
      <c r="G76" s="11">
        <f t="shared" si="6"/>
        <v>12200.211802342674</v>
      </c>
    </row>
    <row r="77" spans="1:7" x14ac:dyDescent="0.25">
      <c r="A77" s="168">
        <v>45046</v>
      </c>
      <c r="B77" s="15">
        <f t="shared" si="7"/>
        <v>974200.21180234267</v>
      </c>
      <c r="C77" s="15">
        <f t="shared" si="4"/>
        <v>234.07866200250734</v>
      </c>
      <c r="D77" s="15"/>
      <c r="E77" s="15"/>
      <c r="F77" s="15">
        <f t="shared" si="5"/>
        <v>974434.29046434513</v>
      </c>
      <c r="G77" s="11">
        <f t="shared" si="6"/>
        <v>12434.290464345133</v>
      </c>
    </row>
    <row r="78" spans="1:7" x14ac:dyDescent="0.25">
      <c r="A78" s="168">
        <v>45047</v>
      </c>
      <c r="B78" s="15">
        <f t="shared" si="7"/>
        <v>974434.29046434513</v>
      </c>
      <c r="C78" s="15">
        <f t="shared" si="4"/>
        <v>234.13490590323849</v>
      </c>
      <c r="D78" s="15"/>
      <c r="E78" s="15"/>
      <c r="F78" s="15">
        <f t="shared" si="5"/>
        <v>974668.42537024838</v>
      </c>
      <c r="G78" s="11">
        <f t="shared" si="6"/>
        <v>12668.425370248384</v>
      </c>
    </row>
    <row r="79" spans="1:7" x14ac:dyDescent="0.25">
      <c r="A79" s="168">
        <v>45048</v>
      </c>
      <c r="B79" s="15">
        <f t="shared" si="7"/>
        <v>974668.42537024838</v>
      </c>
      <c r="C79" s="15">
        <f t="shared" si="4"/>
        <v>234.19116331812916</v>
      </c>
      <c r="D79" s="15"/>
      <c r="E79" s="15"/>
      <c r="F79" s="15">
        <f t="shared" si="5"/>
        <v>974902.6165335665</v>
      </c>
      <c r="G79" s="11">
        <f t="shared" si="6"/>
        <v>12902.616533566499</v>
      </c>
    </row>
    <row r="80" spans="1:7" x14ac:dyDescent="0.25">
      <c r="A80" s="168">
        <v>45049</v>
      </c>
      <c r="B80" s="15">
        <f t="shared" si="7"/>
        <v>974902.6165335665</v>
      </c>
      <c r="C80" s="15">
        <f t="shared" si="4"/>
        <v>234.24743425042644</v>
      </c>
      <c r="D80" s="15"/>
      <c r="E80" s="15"/>
      <c r="F80" s="15">
        <f t="shared" si="5"/>
        <v>975136.86396781693</v>
      </c>
      <c r="G80" s="11">
        <f t="shared" si="6"/>
        <v>13136.863967816927</v>
      </c>
    </row>
    <row r="81" spans="1:7" x14ac:dyDescent="0.25">
      <c r="A81" s="168">
        <v>45050</v>
      </c>
      <c r="B81" s="15">
        <f t="shared" si="7"/>
        <v>975136.86396781693</v>
      </c>
      <c r="C81" s="15">
        <f t="shared" si="4"/>
        <v>234.30371870337825</v>
      </c>
      <c r="D81" s="15"/>
      <c r="E81" s="15"/>
      <c r="F81" s="15">
        <f t="shared" si="5"/>
        <v>975371.16768652026</v>
      </c>
      <c r="G81" s="11">
        <f t="shared" si="6"/>
        <v>13371.167686520261</v>
      </c>
    </row>
    <row r="82" spans="1:7" x14ac:dyDescent="0.25">
      <c r="A82" s="168">
        <v>45051</v>
      </c>
      <c r="B82" s="15">
        <f t="shared" si="7"/>
        <v>975371.16768652026</v>
      </c>
      <c r="C82" s="15">
        <f t="shared" si="4"/>
        <v>234.36001668023334</v>
      </c>
      <c r="D82" s="15"/>
      <c r="E82" s="15"/>
      <c r="F82" s="15">
        <f t="shared" si="5"/>
        <v>975605.52770320047</v>
      </c>
      <c r="G82" s="11">
        <f t="shared" si="6"/>
        <v>13605.527703200467</v>
      </c>
    </row>
    <row r="83" spans="1:7" x14ac:dyDescent="0.25">
      <c r="A83" s="168">
        <v>45052</v>
      </c>
      <c r="B83" s="15">
        <f t="shared" si="7"/>
        <v>975605.52770320047</v>
      </c>
      <c r="C83" s="15">
        <f t="shared" si="4"/>
        <v>234.41632818424122</v>
      </c>
      <c r="D83" s="15"/>
      <c r="E83" s="15"/>
      <c r="F83" s="15">
        <f t="shared" si="5"/>
        <v>975839.94403138466</v>
      </c>
      <c r="G83" s="11">
        <f t="shared" si="6"/>
        <v>13839.944031384657</v>
      </c>
    </row>
    <row r="84" spans="1:7" x14ac:dyDescent="0.25">
      <c r="A84" s="168">
        <v>45053</v>
      </c>
      <c r="B84" s="15">
        <f t="shared" si="7"/>
        <v>975839.94403138466</v>
      </c>
      <c r="C84" s="15">
        <f t="shared" si="4"/>
        <v>234.47265321865217</v>
      </c>
      <c r="D84" s="15"/>
      <c r="E84" s="15"/>
      <c r="F84" s="15">
        <f t="shared" si="5"/>
        <v>976074.41668460332</v>
      </c>
      <c r="G84" s="11">
        <f t="shared" si="6"/>
        <v>14074.416684603319</v>
      </c>
    </row>
    <row r="85" spans="1:7" x14ac:dyDescent="0.25">
      <c r="A85" s="168">
        <v>45054</v>
      </c>
      <c r="B85" s="15">
        <f t="shared" si="7"/>
        <v>976074.41668460332</v>
      </c>
      <c r="C85" s="15">
        <f t="shared" si="4"/>
        <v>234.52899178671717</v>
      </c>
      <c r="D85" s="15"/>
      <c r="E85" s="15"/>
      <c r="F85" s="15">
        <f t="shared" si="5"/>
        <v>976308.94567639008</v>
      </c>
      <c r="G85" s="11">
        <f t="shared" si="6"/>
        <v>14308.945676390082</v>
      </c>
    </row>
    <row r="86" spans="1:7" x14ac:dyDescent="0.25">
      <c r="A86" s="168">
        <v>45055</v>
      </c>
      <c r="B86" s="15">
        <f t="shared" si="7"/>
        <v>976308.94567639008</v>
      </c>
      <c r="C86" s="15">
        <f t="shared" si="4"/>
        <v>234.58534389168815</v>
      </c>
      <c r="D86" s="15"/>
      <c r="E86" s="15"/>
      <c r="F86" s="15">
        <f t="shared" si="5"/>
        <v>976543.53102028172</v>
      </c>
      <c r="G86" s="11">
        <f t="shared" si="6"/>
        <v>14543.53102028172</v>
      </c>
    </row>
    <row r="87" spans="1:7" x14ac:dyDescent="0.25">
      <c r="A87" s="168">
        <v>45056</v>
      </c>
      <c r="B87" s="15">
        <f t="shared" si="7"/>
        <v>976543.53102028172</v>
      </c>
      <c r="C87" s="15">
        <f t="shared" si="4"/>
        <v>234.6417095368177</v>
      </c>
      <c r="D87" s="15"/>
      <c r="E87" s="15"/>
      <c r="F87" s="15">
        <f t="shared" si="5"/>
        <v>976778.1727298185</v>
      </c>
      <c r="G87" s="11">
        <f t="shared" si="6"/>
        <v>14778.1727298185</v>
      </c>
    </row>
    <row r="88" spans="1:7" x14ac:dyDescent="0.25">
      <c r="A88" s="168">
        <v>45057</v>
      </c>
      <c r="B88" s="15">
        <f t="shared" si="7"/>
        <v>976778.1727298185</v>
      </c>
      <c r="C88" s="15">
        <f t="shared" si="4"/>
        <v>234.69808872535918</v>
      </c>
      <c r="D88" s="15"/>
      <c r="E88" s="15"/>
      <c r="F88" s="15">
        <f t="shared" si="5"/>
        <v>977012.87081854383</v>
      </c>
      <c r="G88" s="11">
        <f t="shared" si="6"/>
        <v>15012.87081854383</v>
      </c>
    </row>
    <row r="89" spans="1:7" x14ac:dyDescent="0.25">
      <c r="A89" s="168">
        <v>45058</v>
      </c>
      <c r="B89" s="15">
        <f t="shared" si="7"/>
        <v>977012.87081854383</v>
      </c>
      <c r="C89" s="15">
        <f t="shared" si="4"/>
        <v>234.75448146056678</v>
      </c>
      <c r="D89" s="15"/>
      <c r="E89" s="15"/>
      <c r="F89" s="15">
        <f t="shared" si="5"/>
        <v>977247.62530000438</v>
      </c>
      <c r="G89" s="11">
        <f t="shared" si="6"/>
        <v>15247.62530000438</v>
      </c>
    </row>
    <row r="90" spans="1:7" x14ac:dyDescent="0.25">
      <c r="A90" s="168">
        <v>45059</v>
      </c>
      <c r="B90" s="15">
        <f t="shared" si="7"/>
        <v>977247.62530000438</v>
      </c>
      <c r="C90" s="15">
        <f t="shared" si="4"/>
        <v>234.81088774569551</v>
      </c>
      <c r="D90" s="15"/>
      <c r="E90" s="15"/>
      <c r="F90" s="15">
        <f t="shared" si="5"/>
        <v>977482.43618775008</v>
      </c>
      <c r="G90" s="11">
        <f t="shared" si="6"/>
        <v>15482.436187750078</v>
      </c>
    </row>
    <row r="91" spans="1:7" x14ac:dyDescent="0.25">
      <c r="A91" s="168">
        <v>45060</v>
      </c>
      <c r="B91" s="15">
        <f t="shared" si="7"/>
        <v>977482.43618775008</v>
      </c>
      <c r="C91" s="15">
        <f t="shared" si="4"/>
        <v>234.86730758400105</v>
      </c>
      <c r="D91" s="15"/>
      <c r="E91" s="15"/>
      <c r="F91" s="15">
        <f t="shared" si="5"/>
        <v>977717.30349533411</v>
      </c>
      <c r="G91" s="11">
        <f t="shared" si="6"/>
        <v>15717.303495334112</v>
      </c>
    </row>
    <row r="92" spans="1:7" x14ac:dyDescent="0.25">
      <c r="A92" s="168">
        <v>45061</v>
      </c>
      <c r="B92" s="15">
        <f t="shared" si="7"/>
        <v>977717.30349533411</v>
      </c>
      <c r="C92" s="15">
        <f t="shared" si="4"/>
        <v>234.92374097874</v>
      </c>
      <c r="D92" s="15"/>
      <c r="E92" s="15"/>
      <c r="F92" s="15">
        <f t="shared" si="5"/>
        <v>977952.22723631281</v>
      </c>
      <c r="G92" s="11">
        <f t="shared" si="6"/>
        <v>15952.227236312814</v>
      </c>
    </row>
    <row r="93" spans="1:7" x14ac:dyDescent="0.25">
      <c r="A93" s="168">
        <v>45062</v>
      </c>
      <c r="B93" s="15">
        <f t="shared" si="7"/>
        <v>977952.22723631281</v>
      </c>
      <c r="C93" s="15">
        <f t="shared" si="4"/>
        <v>234.98018793316962</v>
      </c>
      <c r="D93" s="15"/>
      <c r="E93" s="15"/>
      <c r="F93" s="15">
        <f t="shared" si="5"/>
        <v>978187.20742424601</v>
      </c>
      <c r="G93" s="11">
        <f t="shared" si="6"/>
        <v>16187.207424246008</v>
      </c>
    </row>
    <row r="94" spans="1:7" x14ac:dyDescent="0.25">
      <c r="A94" s="168">
        <v>45063</v>
      </c>
      <c r="B94" s="15">
        <f t="shared" si="7"/>
        <v>978187.20742424601</v>
      </c>
      <c r="C94" s="15">
        <f t="shared" si="4"/>
        <v>235.03664845054797</v>
      </c>
      <c r="D94" s="15"/>
      <c r="E94" s="15"/>
      <c r="F94" s="15">
        <f t="shared" si="5"/>
        <v>978422.24407269654</v>
      </c>
      <c r="G94" s="11">
        <f t="shared" si="6"/>
        <v>16422.244072696543</v>
      </c>
    </row>
    <row r="95" spans="1:7" x14ac:dyDescent="0.25">
      <c r="A95" s="168">
        <v>45064</v>
      </c>
      <c r="B95" s="15">
        <f t="shared" si="7"/>
        <v>978422.24407269654</v>
      </c>
      <c r="C95" s="15">
        <f t="shared" si="4"/>
        <v>235.09312253413407</v>
      </c>
      <c r="D95" s="15"/>
      <c r="E95" s="15"/>
      <c r="F95" s="15">
        <f t="shared" si="5"/>
        <v>978657.33719523065</v>
      </c>
      <c r="G95" s="11">
        <f t="shared" si="6"/>
        <v>16657.337195230648</v>
      </c>
    </row>
    <row r="96" spans="1:7" x14ac:dyDescent="0.25">
      <c r="A96" s="168">
        <v>45065</v>
      </c>
      <c r="B96" s="15">
        <f t="shared" si="7"/>
        <v>978657.33719523065</v>
      </c>
      <c r="C96" s="15">
        <f t="shared" si="4"/>
        <v>235.14961018718736</v>
      </c>
      <c r="D96" s="15"/>
      <c r="E96" s="15"/>
      <c r="F96" s="15">
        <f t="shared" si="5"/>
        <v>978892.48680541781</v>
      </c>
      <c r="G96" s="11">
        <f t="shared" si="6"/>
        <v>16892.486805417808</v>
      </c>
    </row>
    <row r="97" spans="1:7" x14ac:dyDescent="0.25">
      <c r="A97" s="168">
        <v>45066</v>
      </c>
      <c r="B97" s="15">
        <f t="shared" si="7"/>
        <v>978892.48680541781</v>
      </c>
      <c r="C97" s="15">
        <f t="shared" si="4"/>
        <v>235.20611141296843</v>
      </c>
      <c r="D97" s="15"/>
      <c r="E97" s="15"/>
      <c r="F97" s="15">
        <f t="shared" si="5"/>
        <v>979127.69291683077</v>
      </c>
      <c r="G97" s="11">
        <f t="shared" si="6"/>
        <v>17127.692916830769</v>
      </c>
    </row>
    <row r="98" spans="1:7" x14ac:dyDescent="0.25">
      <c r="A98" s="168">
        <v>45067</v>
      </c>
      <c r="B98" s="15">
        <f t="shared" si="7"/>
        <v>979127.69291683077</v>
      </c>
      <c r="C98" s="15">
        <f t="shared" si="4"/>
        <v>235.26262621473853</v>
      </c>
      <c r="D98" s="15"/>
      <c r="E98" s="15"/>
      <c r="F98" s="15">
        <f t="shared" si="5"/>
        <v>979362.95554304554</v>
      </c>
      <c r="G98" s="11">
        <f t="shared" si="6"/>
        <v>17362.955543045537</v>
      </c>
    </row>
    <row r="99" spans="1:7" x14ac:dyDescent="0.25">
      <c r="A99" s="168">
        <v>45068</v>
      </c>
      <c r="B99" s="15">
        <f t="shared" si="7"/>
        <v>979362.95554304554</v>
      </c>
      <c r="C99" s="15">
        <f t="shared" si="4"/>
        <v>235.31915459575953</v>
      </c>
      <c r="D99" s="15"/>
      <c r="E99" s="15"/>
      <c r="F99" s="15">
        <f t="shared" si="5"/>
        <v>979598.27469764126</v>
      </c>
      <c r="G99" s="11">
        <f t="shared" si="6"/>
        <v>17598.27469764126</v>
      </c>
    </row>
    <row r="100" spans="1:7" x14ac:dyDescent="0.25">
      <c r="A100" s="168">
        <v>45069</v>
      </c>
      <c r="B100" s="15">
        <f t="shared" si="7"/>
        <v>979598.27469764126</v>
      </c>
      <c r="C100" s="15">
        <f t="shared" si="4"/>
        <v>235.3756965592944</v>
      </c>
      <c r="D100" s="15"/>
      <c r="E100" s="15"/>
      <c r="F100" s="15">
        <f t="shared" si="5"/>
        <v>979833.65039420058</v>
      </c>
      <c r="G100" s="11">
        <f t="shared" si="6"/>
        <v>17833.65039420058</v>
      </c>
    </row>
    <row r="101" spans="1:7" x14ac:dyDescent="0.25">
      <c r="A101" s="168">
        <v>45070</v>
      </c>
      <c r="B101" s="15">
        <f t="shared" si="7"/>
        <v>979833.65039420058</v>
      </c>
      <c r="C101" s="15">
        <f t="shared" si="4"/>
        <v>235.43225210860655</v>
      </c>
      <c r="D101" s="15"/>
      <c r="E101" s="15"/>
      <c r="F101" s="15">
        <f t="shared" si="5"/>
        <v>980069.08264630917</v>
      </c>
      <c r="G101" s="11">
        <f t="shared" si="6"/>
        <v>18069.082646309165</v>
      </c>
    </row>
    <row r="102" spans="1:7" x14ac:dyDescent="0.25">
      <c r="A102" s="168">
        <v>45071</v>
      </c>
      <c r="B102" s="15">
        <f t="shared" si="7"/>
        <v>980069.08264630917</v>
      </c>
      <c r="C102" s="15">
        <f t="shared" si="4"/>
        <v>235.48882124696041</v>
      </c>
      <c r="D102" s="15"/>
      <c r="E102" s="15"/>
      <c r="F102" s="15">
        <f t="shared" si="5"/>
        <v>980304.57146755618</v>
      </c>
      <c r="G102" s="11">
        <f t="shared" si="6"/>
        <v>18304.571467556176</v>
      </c>
    </row>
    <row r="103" spans="1:7" x14ac:dyDescent="0.25">
      <c r="A103" s="168">
        <v>45072</v>
      </c>
      <c r="B103" s="15">
        <f t="shared" si="7"/>
        <v>980304.57146755618</v>
      </c>
      <c r="C103" s="15">
        <f t="shared" si="4"/>
        <v>235.54540397762113</v>
      </c>
      <c r="D103" s="15"/>
      <c r="E103" s="15"/>
      <c r="F103" s="15">
        <f t="shared" si="5"/>
        <v>980540.1168715338</v>
      </c>
      <c r="G103" s="11">
        <f t="shared" si="6"/>
        <v>18540.116871533799</v>
      </c>
    </row>
    <row r="104" spans="1:7" x14ac:dyDescent="0.25">
      <c r="A104" s="168">
        <v>45073</v>
      </c>
      <c r="B104" s="15">
        <f t="shared" si="7"/>
        <v>980540.1168715338</v>
      </c>
      <c r="C104" s="15">
        <f t="shared" si="4"/>
        <v>235.60200030385465</v>
      </c>
      <c r="D104" s="15"/>
      <c r="E104" s="15"/>
      <c r="F104" s="15">
        <f t="shared" si="5"/>
        <v>980775.7188718376</v>
      </c>
      <c r="G104" s="11">
        <f t="shared" si="6"/>
        <v>18775.718871837598</v>
      </c>
    </row>
    <row r="105" spans="1:7" x14ac:dyDescent="0.25">
      <c r="A105" s="168">
        <v>45074</v>
      </c>
      <c r="B105" s="15">
        <f t="shared" si="7"/>
        <v>980775.7188718376</v>
      </c>
      <c r="C105" s="15">
        <f t="shared" si="4"/>
        <v>235.65861022892764</v>
      </c>
      <c r="D105" s="15"/>
      <c r="E105" s="15"/>
      <c r="F105" s="15">
        <f t="shared" si="5"/>
        <v>981011.37748206651</v>
      </c>
      <c r="G105" s="11">
        <f t="shared" si="6"/>
        <v>19011.377482066513</v>
      </c>
    </row>
    <row r="106" spans="1:7" x14ac:dyDescent="0.25">
      <c r="A106" s="168">
        <v>45075</v>
      </c>
      <c r="B106" s="15">
        <f t="shared" si="7"/>
        <v>981011.37748206651</v>
      </c>
      <c r="C106" s="15">
        <f t="shared" si="4"/>
        <v>235.71523375610764</v>
      </c>
      <c r="D106" s="15"/>
      <c r="E106" s="15"/>
      <c r="F106" s="15">
        <f t="shared" si="5"/>
        <v>981247.09271582263</v>
      </c>
      <c r="G106" s="11">
        <f t="shared" si="6"/>
        <v>19247.092715822626</v>
      </c>
    </row>
    <row r="107" spans="1:7" x14ac:dyDescent="0.25">
      <c r="A107" s="168">
        <v>45076</v>
      </c>
      <c r="B107" s="15">
        <f t="shared" si="7"/>
        <v>981247.09271582263</v>
      </c>
      <c r="C107" s="15">
        <f t="shared" si="4"/>
        <v>235.77187088866293</v>
      </c>
      <c r="D107" s="15"/>
      <c r="E107" s="15"/>
      <c r="F107" s="15">
        <f t="shared" si="5"/>
        <v>981482.86458671128</v>
      </c>
      <c r="G107" s="11">
        <f t="shared" si="6"/>
        <v>19482.864586711279</v>
      </c>
    </row>
    <row r="108" spans="1:7" x14ac:dyDescent="0.25">
      <c r="A108" s="168">
        <v>45077</v>
      </c>
      <c r="B108" s="15">
        <f t="shared" si="7"/>
        <v>981482.86458671128</v>
      </c>
      <c r="C108" s="15">
        <f t="shared" si="4"/>
        <v>235.82852162986259</v>
      </c>
      <c r="D108" s="15"/>
      <c r="E108" s="15"/>
      <c r="F108" s="15">
        <f t="shared" si="5"/>
        <v>981718.69310834119</v>
      </c>
      <c r="G108" s="11">
        <f t="shared" si="6"/>
        <v>19718.693108341191</v>
      </c>
    </row>
    <row r="109" spans="1:7" x14ac:dyDescent="0.25">
      <c r="A109" s="168">
        <v>45078</v>
      </c>
      <c r="B109" s="15">
        <f t="shared" si="7"/>
        <v>981718.69310834119</v>
      </c>
      <c r="C109" s="15">
        <f t="shared" si="4"/>
        <v>235.88518598297642</v>
      </c>
      <c r="D109" s="15"/>
      <c r="E109" s="15"/>
      <c r="F109" s="15">
        <f t="shared" si="5"/>
        <v>981954.57829432422</v>
      </c>
      <c r="G109" s="11">
        <f t="shared" si="6"/>
        <v>19954.578294324223</v>
      </c>
    </row>
    <row r="110" spans="1:7" x14ac:dyDescent="0.25">
      <c r="A110" s="168">
        <v>45079</v>
      </c>
      <c r="B110" s="15">
        <f t="shared" si="7"/>
        <v>981954.57829432422</v>
      </c>
      <c r="C110" s="15">
        <f t="shared" si="4"/>
        <v>235.94186395127514</v>
      </c>
      <c r="D110" s="15"/>
      <c r="E110" s="15"/>
      <c r="F110" s="15">
        <f t="shared" si="5"/>
        <v>982190.5201582755</v>
      </c>
      <c r="G110" s="11">
        <f t="shared" si="6"/>
        <v>20190.520158275496</v>
      </c>
    </row>
    <row r="111" spans="1:7" x14ac:dyDescent="0.25">
      <c r="A111" s="168">
        <v>45080</v>
      </c>
      <c r="B111" s="15">
        <f t="shared" si="7"/>
        <v>982190.5201582755</v>
      </c>
      <c r="C111" s="15">
        <f t="shared" si="4"/>
        <v>235.99855553803008</v>
      </c>
      <c r="D111" s="15"/>
      <c r="E111" s="15"/>
      <c r="F111" s="15">
        <f t="shared" si="5"/>
        <v>982426.51871381351</v>
      </c>
      <c r="G111" s="11">
        <f t="shared" si="6"/>
        <v>20426.518713813508</v>
      </c>
    </row>
    <row r="112" spans="1:7" x14ac:dyDescent="0.25">
      <c r="A112" s="168">
        <v>45081</v>
      </c>
      <c r="B112" s="15">
        <f t="shared" si="7"/>
        <v>982426.51871381351</v>
      </c>
      <c r="C112" s="15">
        <f t="shared" si="4"/>
        <v>236.05526074651354</v>
      </c>
      <c r="D112" s="15"/>
      <c r="E112" s="15"/>
      <c r="F112" s="15">
        <f t="shared" si="5"/>
        <v>982662.57397456001</v>
      </c>
      <c r="G112" s="11">
        <f t="shared" si="6"/>
        <v>20662.573974560015</v>
      </c>
    </row>
    <row r="113" spans="1:7" x14ac:dyDescent="0.25">
      <c r="A113" s="168">
        <v>45082</v>
      </c>
      <c r="B113" s="15">
        <f t="shared" si="7"/>
        <v>982662.57397456001</v>
      </c>
      <c r="C113" s="15">
        <f t="shared" si="4"/>
        <v>236.11197957999843</v>
      </c>
      <c r="D113" s="15"/>
      <c r="E113" s="15"/>
      <c r="F113" s="15">
        <f t="shared" si="5"/>
        <v>982898.68595414003</v>
      </c>
      <c r="G113" s="11">
        <f t="shared" si="6"/>
        <v>20898.685954140034</v>
      </c>
    </row>
    <row r="114" spans="1:7" x14ac:dyDescent="0.25">
      <c r="A114" s="168">
        <v>45083</v>
      </c>
      <c r="B114" s="15">
        <f t="shared" si="7"/>
        <v>982898.68595414003</v>
      </c>
      <c r="C114" s="15">
        <f t="shared" si="4"/>
        <v>236.16871204175868</v>
      </c>
      <c r="D114" s="15"/>
      <c r="E114" s="15"/>
      <c r="F114" s="15">
        <f t="shared" si="5"/>
        <v>983134.85466618184</v>
      </c>
      <c r="G114" s="11">
        <f t="shared" si="6"/>
        <v>21134.85466618184</v>
      </c>
    </row>
    <row r="115" spans="1:7" x14ac:dyDescent="0.25">
      <c r="A115" s="168">
        <v>45084</v>
      </c>
      <c r="B115" s="15">
        <f t="shared" si="7"/>
        <v>983134.85466618184</v>
      </c>
      <c r="C115" s="15">
        <f t="shared" si="4"/>
        <v>236.22545813506872</v>
      </c>
      <c r="D115" s="15"/>
      <c r="E115" s="15"/>
      <c r="F115" s="15">
        <f t="shared" si="5"/>
        <v>983371.08012431685</v>
      </c>
      <c r="G115" s="11">
        <f t="shared" si="6"/>
        <v>21371.080124316853</v>
      </c>
    </row>
    <row r="116" spans="1:7" x14ac:dyDescent="0.25">
      <c r="A116" s="168">
        <v>45085</v>
      </c>
      <c r="B116" s="15">
        <f t="shared" si="7"/>
        <v>983371.08012431685</v>
      </c>
      <c r="C116" s="15">
        <f t="shared" si="4"/>
        <v>236.2822178632039</v>
      </c>
      <c r="D116" s="15"/>
      <c r="E116" s="15"/>
      <c r="F116" s="15">
        <f t="shared" si="5"/>
        <v>983607.3623421801</v>
      </c>
      <c r="G116" s="11">
        <f t="shared" si="6"/>
        <v>21607.362342180102</v>
      </c>
    </row>
    <row r="117" spans="1:7" x14ac:dyDescent="0.25">
      <c r="A117" s="168">
        <v>45086</v>
      </c>
      <c r="B117" s="15">
        <f t="shared" si="7"/>
        <v>983607.3623421801</v>
      </c>
      <c r="C117" s="15">
        <f t="shared" si="4"/>
        <v>236.3389912294405</v>
      </c>
      <c r="D117" s="15"/>
      <c r="E117" s="15"/>
      <c r="F117" s="15">
        <f t="shared" si="5"/>
        <v>983843.70133340952</v>
      </c>
      <c r="G117" s="11">
        <f t="shared" si="6"/>
        <v>21843.701333409525</v>
      </c>
    </row>
    <row r="118" spans="1:7" x14ac:dyDescent="0.25">
      <c r="A118" s="168">
        <v>45087</v>
      </c>
      <c r="B118" s="15">
        <f t="shared" si="7"/>
        <v>983843.70133340952</v>
      </c>
      <c r="C118" s="15">
        <f t="shared" si="4"/>
        <v>236.39577823705537</v>
      </c>
      <c r="D118" s="15"/>
      <c r="E118" s="15"/>
      <c r="F118" s="15">
        <f t="shared" si="5"/>
        <v>984080.09711164655</v>
      </c>
      <c r="G118" s="11">
        <f t="shared" si="6"/>
        <v>22080.097111646552</v>
      </c>
    </row>
    <row r="119" spans="1:7" x14ac:dyDescent="0.25">
      <c r="A119" s="168">
        <v>45088</v>
      </c>
      <c r="B119" s="15">
        <f t="shared" si="7"/>
        <v>984080.09711164655</v>
      </c>
      <c r="C119" s="15">
        <f t="shared" si="4"/>
        <v>236.45257888932619</v>
      </c>
      <c r="D119" s="15"/>
      <c r="E119" s="15"/>
      <c r="F119" s="15">
        <f t="shared" si="5"/>
        <v>984316.54969053587</v>
      </c>
      <c r="G119" s="11">
        <f t="shared" si="6"/>
        <v>22316.549690535874</v>
      </c>
    </row>
    <row r="120" spans="1:7" x14ac:dyDescent="0.25">
      <c r="A120" s="168">
        <v>45089</v>
      </c>
      <c r="B120" s="15">
        <f t="shared" si="7"/>
        <v>984316.54969053587</v>
      </c>
      <c r="C120" s="15">
        <f t="shared" si="4"/>
        <v>236.50939318953155</v>
      </c>
      <c r="D120" s="15"/>
      <c r="E120" s="15"/>
      <c r="F120" s="15">
        <f t="shared" si="5"/>
        <v>984553.05908372544</v>
      </c>
      <c r="G120" s="11">
        <f t="shared" si="6"/>
        <v>22553.059083725442</v>
      </c>
    </row>
    <row r="121" spans="1:7" x14ac:dyDescent="0.25">
      <c r="A121" s="168">
        <v>45090</v>
      </c>
      <c r="B121" s="15">
        <f t="shared" si="7"/>
        <v>984553.05908372544</v>
      </c>
      <c r="C121" s="15">
        <f t="shared" si="4"/>
        <v>236.56622114095072</v>
      </c>
      <c r="D121" s="15"/>
      <c r="E121" s="15"/>
      <c r="F121" s="15">
        <f t="shared" si="5"/>
        <v>984789.62530486635</v>
      </c>
      <c r="G121" s="11">
        <f t="shared" si="6"/>
        <v>22789.625304866349</v>
      </c>
    </row>
    <row r="122" spans="1:7" x14ac:dyDescent="0.25">
      <c r="A122" s="168">
        <v>45091</v>
      </c>
      <c r="B122" s="15">
        <f t="shared" si="7"/>
        <v>984789.62530486635</v>
      </c>
      <c r="C122" s="15">
        <f t="shared" si="4"/>
        <v>236.6230627468637</v>
      </c>
      <c r="D122" s="15"/>
      <c r="E122" s="15"/>
      <c r="F122" s="15">
        <f t="shared" si="5"/>
        <v>985026.24836761318</v>
      </c>
      <c r="G122" s="11">
        <f t="shared" si="6"/>
        <v>23026.248367613181</v>
      </c>
    </row>
    <row r="123" spans="1:7" x14ac:dyDescent="0.25">
      <c r="A123" s="168">
        <v>45092</v>
      </c>
      <c r="B123" s="15">
        <f t="shared" si="7"/>
        <v>985026.24836761318</v>
      </c>
      <c r="C123" s="15">
        <f t="shared" si="4"/>
        <v>236.67991801055155</v>
      </c>
      <c r="D123" s="15"/>
      <c r="E123" s="15"/>
      <c r="F123" s="15">
        <f t="shared" si="5"/>
        <v>985262.92828562378</v>
      </c>
      <c r="G123" s="11">
        <f t="shared" si="6"/>
        <v>23262.928285623784</v>
      </c>
    </row>
    <row r="124" spans="1:7" x14ac:dyDescent="0.25">
      <c r="A124" s="168">
        <v>45093</v>
      </c>
      <c r="B124" s="15">
        <f t="shared" si="7"/>
        <v>985262.92828562378</v>
      </c>
      <c r="C124" s="15">
        <f t="shared" si="4"/>
        <v>236.7367869352957</v>
      </c>
      <c r="D124" s="15"/>
      <c r="E124" s="15"/>
      <c r="F124" s="15">
        <f t="shared" si="5"/>
        <v>985499.66507255903</v>
      </c>
      <c r="G124" s="11">
        <f t="shared" si="6"/>
        <v>23499.66507255903</v>
      </c>
    </row>
    <row r="125" spans="1:7" x14ac:dyDescent="0.25">
      <c r="A125" s="168">
        <v>45094</v>
      </c>
      <c r="B125" s="15">
        <f t="shared" si="7"/>
        <v>985499.66507255903</v>
      </c>
      <c r="C125" s="15">
        <f t="shared" si="4"/>
        <v>236.79366952437877</v>
      </c>
      <c r="D125" s="15"/>
      <c r="E125" s="15"/>
      <c r="F125" s="15">
        <f t="shared" si="5"/>
        <v>985736.4587420834</v>
      </c>
      <c r="G125" s="11">
        <f t="shared" si="6"/>
        <v>23736.4587420834</v>
      </c>
    </row>
    <row r="126" spans="1:7" x14ac:dyDescent="0.25">
      <c r="A126" s="168">
        <v>45095</v>
      </c>
      <c r="B126" s="15">
        <f t="shared" si="7"/>
        <v>985736.4587420834</v>
      </c>
      <c r="C126" s="15">
        <f t="shared" si="4"/>
        <v>236.85056578108393</v>
      </c>
      <c r="D126" s="15"/>
      <c r="E126" s="15"/>
      <c r="F126" s="15">
        <f t="shared" si="5"/>
        <v>985973.30930786452</v>
      </c>
      <c r="G126" s="11">
        <f t="shared" si="6"/>
        <v>23973.309307864518</v>
      </c>
    </row>
    <row r="127" spans="1:7" x14ac:dyDescent="0.25">
      <c r="A127" s="168">
        <v>45096</v>
      </c>
      <c r="B127" s="15">
        <f t="shared" si="7"/>
        <v>985973.30930786452</v>
      </c>
      <c r="C127" s="15">
        <f t="shared" si="4"/>
        <v>236.90747570869524</v>
      </c>
      <c r="D127" s="15"/>
      <c r="E127" s="15"/>
      <c r="F127" s="15">
        <f t="shared" si="5"/>
        <v>986210.21678357327</v>
      </c>
      <c r="G127" s="11">
        <f t="shared" si="6"/>
        <v>24210.216783573269</v>
      </c>
    </row>
    <row r="128" spans="1:7" x14ac:dyDescent="0.25">
      <c r="A128" s="168">
        <v>45097</v>
      </c>
      <c r="B128" s="15">
        <f t="shared" si="7"/>
        <v>986210.21678357327</v>
      </c>
      <c r="C128" s="15">
        <f t="shared" si="4"/>
        <v>236.96439931049747</v>
      </c>
      <c r="D128" s="15"/>
      <c r="E128" s="15"/>
      <c r="F128" s="15">
        <f t="shared" si="5"/>
        <v>986447.1811828838</v>
      </c>
      <c r="G128" s="11">
        <f t="shared" si="6"/>
        <v>24447.181182883796</v>
      </c>
    </row>
    <row r="129" spans="1:7" x14ac:dyDescent="0.25">
      <c r="A129" s="168">
        <v>45098</v>
      </c>
      <c r="B129" s="15">
        <f t="shared" si="7"/>
        <v>986447.1811828838</v>
      </c>
      <c r="C129" s="15">
        <f t="shared" si="4"/>
        <v>237.02133658977624</v>
      </c>
      <c r="D129" s="15"/>
      <c r="E129" s="15"/>
      <c r="F129" s="15">
        <f t="shared" si="5"/>
        <v>986684.20251947362</v>
      </c>
      <c r="G129" s="11">
        <f t="shared" si="6"/>
        <v>24684.20251947362</v>
      </c>
    </row>
    <row r="130" spans="1:7" x14ac:dyDescent="0.25">
      <c r="A130" s="168">
        <v>45099</v>
      </c>
      <c r="B130" s="15">
        <f t="shared" si="7"/>
        <v>986684.20251947362</v>
      </c>
      <c r="C130" s="15">
        <f t="shared" si="4"/>
        <v>237.07828754981799</v>
      </c>
      <c r="D130" s="15"/>
      <c r="E130" s="15"/>
      <c r="F130" s="15">
        <f t="shared" si="5"/>
        <v>986921.2808070234</v>
      </c>
      <c r="G130" s="11">
        <f t="shared" si="6"/>
        <v>24921.280807023402</v>
      </c>
    </row>
    <row r="131" spans="1:7" x14ac:dyDescent="0.25">
      <c r="A131" s="168">
        <v>45100</v>
      </c>
      <c r="B131" s="15">
        <f t="shared" si="7"/>
        <v>986921.2808070234</v>
      </c>
      <c r="C131" s="15">
        <f t="shared" si="4"/>
        <v>237.13525219390982</v>
      </c>
      <c r="D131" s="15"/>
      <c r="E131" s="15"/>
      <c r="F131" s="15">
        <f t="shared" si="5"/>
        <v>987158.4160592173</v>
      </c>
      <c r="G131" s="11">
        <f t="shared" si="6"/>
        <v>25158.416059217299</v>
      </c>
    </row>
    <row r="132" spans="1:7" x14ac:dyDescent="0.25">
      <c r="A132" s="168">
        <v>45101</v>
      </c>
      <c r="B132" s="15">
        <f t="shared" si="7"/>
        <v>987158.4160592173</v>
      </c>
      <c r="C132" s="15">
        <f t="shared" ref="C132:C169" si="8">B132*$C$1/36000</f>
        <v>237.19223052533974</v>
      </c>
      <c r="D132" s="15"/>
      <c r="E132" s="15"/>
      <c r="F132" s="15">
        <f t="shared" ref="F132:F169" si="9">B132+C132+D132+E132</f>
        <v>987395.60828974261</v>
      </c>
      <c r="G132" s="11">
        <f t="shared" ref="G132:G169" si="10">F132-$B$3</f>
        <v>25395.608289742609</v>
      </c>
    </row>
    <row r="133" spans="1:7" x14ac:dyDescent="0.25">
      <c r="A133" s="168">
        <v>45102</v>
      </c>
      <c r="B133" s="15">
        <f t="shared" ref="B133:B169" si="11">F132</f>
        <v>987395.60828974261</v>
      </c>
      <c r="C133" s="15">
        <f t="shared" si="8"/>
        <v>237.2492225473965</v>
      </c>
      <c r="D133" s="15"/>
      <c r="E133" s="15"/>
      <c r="F133" s="15">
        <f t="shared" si="9"/>
        <v>987632.85751229001</v>
      </c>
      <c r="G133" s="11">
        <f t="shared" si="10"/>
        <v>25632.857512290007</v>
      </c>
    </row>
    <row r="134" spans="1:7" x14ac:dyDescent="0.25">
      <c r="A134" s="168">
        <v>45103</v>
      </c>
      <c r="B134" s="15">
        <f t="shared" si="11"/>
        <v>987632.85751229001</v>
      </c>
      <c r="C134" s="15">
        <f t="shared" si="8"/>
        <v>237.30622826336972</v>
      </c>
      <c r="D134" s="15"/>
      <c r="E134" s="15"/>
      <c r="F134" s="15">
        <f t="shared" si="9"/>
        <v>987870.16374055343</v>
      </c>
      <c r="G134" s="11">
        <f t="shared" si="10"/>
        <v>25870.163740553427</v>
      </c>
    </row>
    <row r="135" spans="1:7" x14ac:dyDescent="0.25">
      <c r="A135" s="168">
        <v>45104</v>
      </c>
      <c r="B135" s="15">
        <f t="shared" si="11"/>
        <v>987870.16374055343</v>
      </c>
      <c r="C135" s="15">
        <f t="shared" si="8"/>
        <v>237.36324767654963</v>
      </c>
      <c r="D135" s="15"/>
      <c r="E135" s="15"/>
      <c r="F135" s="15">
        <f t="shared" si="9"/>
        <v>988107.52698822995</v>
      </c>
      <c r="G135" s="11">
        <f t="shared" si="10"/>
        <v>26107.526988229947</v>
      </c>
    </row>
    <row r="136" spans="1:7" x14ac:dyDescent="0.25">
      <c r="A136" s="168">
        <v>45105</v>
      </c>
      <c r="B136" s="15">
        <f t="shared" si="11"/>
        <v>988107.52698822995</v>
      </c>
      <c r="C136" s="15">
        <f t="shared" si="8"/>
        <v>237.42028079022745</v>
      </c>
      <c r="D136" s="15"/>
      <c r="E136" s="15"/>
      <c r="F136" s="15">
        <f t="shared" si="9"/>
        <v>988344.94726902014</v>
      </c>
      <c r="G136" s="11">
        <f t="shared" si="10"/>
        <v>26344.947269020136</v>
      </c>
    </row>
    <row r="137" spans="1:7" x14ac:dyDescent="0.25">
      <c r="A137" s="168">
        <v>45106</v>
      </c>
      <c r="B137" s="15">
        <f t="shared" si="11"/>
        <v>988344.94726902014</v>
      </c>
      <c r="C137" s="15">
        <f t="shared" si="8"/>
        <v>237.47732760769512</v>
      </c>
      <c r="D137" s="15"/>
      <c r="E137" s="15"/>
      <c r="F137" s="15">
        <f t="shared" si="9"/>
        <v>988582.42459662782</v>
      </c>
      <c r="G137" s="11">
        <f t="shared" si="10"/>
        <v>26582.424596627825</v>
      </c>
    </row>
    <row r="138" spans="1:7" x14ac:dyDescent="0.25">
      <c r="A138" s="168">
        <v>45107</v>
      </c>
      <c r="B138" s="15">
        <f t="shared" si="11"/>
        <v>988582.42459662782</v>
      </c>
      <c r="C138" s="15">
        <f t="shared" si="8"/>
        <v>237.53438813224534</v>
      </c>
      <c r="D138" s="15"/>
      <c r="E138" s="15"/>
      <c r="F138" s="15">
        <f t="shared" si="9"/>
        <v>988819.9589847601</v>
      </c>
      <c r="G138" s="11">
        <f t="shared" si="10"/>
        <v>26819.958984760102</v>
      </c>
    </row>
    <row r="139" spans="1:7" x14ac:dyDescent="0.25">
      <c r="A139" s="168">
        <v>45108</v>
      </c>
      <c r="B139" s="15">
        <f t="shared" si="11"/>
        <v>988819.9589847601</v>
      </c>
      <c r="C139" s="15">
        <f t="shared" si="8"/>
        <v>237.59146236717152</v>
      </c>
      <c r="D139" s="15"/>
      <c r="E139" s="15"/>
      <c r="F139" s="15">
        <f t="shared" si="9"/>
        <v>989057.55044712732</v>
      </c>
      <c r="G139" s="11">
        <f t="shared" si="10"/>
        <v>27057.550447127316</v>
      </c>
    </row>
    <row r="140" spans="1:7" x14ac:dyDescent="0.25">
      <c r="A140" s="168">
        <v>45109</v>
      </c>
      <c r="B140" s="15">
        <f t="shared" si="11"/>
        <v>989057.55044712732</v>
      </c>
      <c r="C140" s="15">
        <f t="shared" si="8"/>
        <v>237.64855031576809</v>
      </c>
      <c r="D140" s="15"/>
      <c r="E140" s="15"/>
      <c r="F140" s="15">
        <f t="shared" si="9"/>
        <v>989295.19899744308</v>
      </c>
      <c r="G140" s="11">
        <f t="shared" si="10"/>
        <v>27295.198997443076</v>
      </c>
    </row>
    <row r="141" spans="1:7" x14ac:dyDescent="0.25">
      <c r="A141" s="168">
        <v>45110</v>
      </c>
      <c r="B141" s="15">
        <f t="shared" si="11"/>
        <v>989295.19899744308</v>
      </c>
      <c r="C141" s="15">
        <f t="shared" si="8"/>
        <v>237.70565198133005</v>
      </c>
      <c r="D141" s="15"/>
      <c r="E141" s="15"/>
      <c r="F141" s="15">
        <f t="shared" si="9"/>
        <v>989532.90464942437</v>
      </c>
      <c r="G141" s="11">
        <f t="shared" si="10"/>
        <v>27532.904649424367</v>
      </c>
    </row>
    <row r="142" spans="1:7" x14ac:dyDescent="0.25">
      <c r="A142" s="168">
        <v>45111</v>
      </c>
      <c r="B142" s="15">
        <f t="shared" si="11"/>
        <v>989532.90464942437</v>
      </c>
      <c r="C142" s="15">
        <f t="shared" si="8"/>
        <v>237.76276736715337</v>
      </c>
      <c r="D142" s="15"/>
      <c r="E142" s="15"/>
      <c r="F142" s="15">
        <f t="shared" si="9"/>
        <v>989770.66741679155</v>
      </c>
      <c r="G142" s="11">
        <f t="shared" si="10"/>
        <v>27770.667416791548</v>
      </c>
    </row>
    <row r="143" spans="1:7" x14ac:dyDescent="0.25">
      <c r="A143" s="168">
        <v>45112</v>
      </c>
      <c r="B143" s="15">
        <f t="shared" si="11"/>
        <v>989770.66741679155</v>
      </c>
      <c r="C143" s="15">
        <f t="shared" si="8"/>
        <v>237.81989647653467</v>
      </c>
      <c r="D143" s="15"/>
      <c r="E143" s="15"/>
      <c r="F143" s="15">
        <f t="shared" si="9"/>
        <v>990008.48731326812</v>
      </c>
      <c r="G143" s="11">
        <f t="shared" si="10"/>
        <v>28008.487313268124</v>
      </c>
    </row>
    <row r="144" spans="1:7" x14ac:dyDescent="0.25">
      <c r="A144" s="168">
        <v>45113</v>
      </c>
      <c r="B144" s="15">
        <f t="shared" si="11"/>
        <v>990008.48731326812</v>
      </c>
      <c r="C144" s="15">
        <f t="shared" si="8"/>
        <v>237.87703931277136</v>
      </c>
      <c r="D144" s="15"/>
      <c r="E144" s="15"/>
      <c r="F144" s="15">
        <f t="shared" si="9"/>
        <v>990246.36435258086</v>
      </c>
      <c r="G144" s="11">
        <f t="shared" si="10"/>
        <v>28246.364352580858</v>
      </c>
    </row>
    <row r="145" spans="1:7" x14ac:dyDescent="0.25">
      <c r="A145" s="168">
        <v>45114</v>
      </c>
      <c r="B145" s="15">
        <f t="shared" si="11"/>
        <v>990246.36435258086</v>
      </c>
      <c r="C145" s="15">
        <f t="shared" si="8"/>
        <v>237.93419587916182</v>
      </c>
      <c r="D145" s="15"/>
      <c r="E145" s="15"/>
      <c r="F145" s="15">
        <f t="shared" si="9"/>
        <v>990484.29854846001</v>
      </c>
      <c r="G145" s="11">
        <f t="shared" si="10"/>
        <v>28484.298548460007</v>
      </c>
    </row>
    <row r="146" spans="1:7" x14ac:dyDescent="0.25">
      <c r="A146" s="168">
        <v>45115</v>
      </c>
      <c r="B146" s="15">
        <f t="shared" si="11"/>
        <v>990484.29854846001</v>
      </c>
      <c r="C146" s="15">
        <f t="shared" si="8"/>
        <v>237.99136617900498</v>
      </c>
      <c r="D146" s="15"/>
      <c r="E146" s="15"/>
      <c r="F146" s="15">
        <f t="shared" si="9"/>
        <v>990722.28991463897</v>
      </c>
      <c r="G146" s="11">
        <f t="shared" si="10"/>
        <v>28722.289914638968</v>
      </c>
    </row>
    <row r="147" spans="1:7" x14ac:dyDescent="0.25">
      <c r="A147" s="168">
        <v>45116</v>
      </c>
      <c r="B147" s="15">
        <f t="shared" si="11"/>
        <v>990722.28991463897</v>
      </c>
      <c r="C147" s="15">
        <f t="shared" si="8"/>
        <v>238.04855021560078</v>
      </c>
      <c r="D147" s="15"/>
      <c r="E147" s="15"/>
      <c r="F147" s="15">
        <f t="shared" si="9"/>
        <v>990960.33846485452</v>
      </c>
      <c r="G147" s="11">
        <f t="shared" si="10"/>
        <v>28960.338464854518</v>
      </c>
    </row>
    <row r="148" spans="1:7" x14ac:dyDescent="0.25">
      <c r="A148" s="168">
        <v>45117</v>
      </c>
      <c r="B148" s="15">
        <f t="shared" si="11"/>
        <v>990960.33846485452</v>
      </c>
      <c r="C148" s="15">
        <f t="shared" si="8"/>
        <v>238.10574799224977</v>
      </c>
      <c r="D148" s="15"/>
      <c r="E148" s="15"/>
      <c r="F148" s="15">
        <f t="shared" si="9"/>
        <v>991198.44421284681</v>
      </c>
      <c r="G148" s="11">
        <f t="shared" si="10"/>
        <v>29198.444212846807</v>
      </c>
    </row>
    <row r="149" spans="1:7" x14ac:dyDescent="0.25">
      <c r="A149" s="168">
        <v>45118</v>
      </c>
      <c r="B149" s="15">
        <f t="shared" si="11"/>
        <v>991198.44421284681</v>
      </c>
      <c r="C149" s="15">
        <f t="shared" si="8"/>
        <v>238.16295951225351</v>
      </c>
      <c r="D149" s="15"/>
      <c r="E149" s="15"/>
      <c r="F149" s="15">
        <f t="shared" si="9"/>
        <v>991436.60717235901</v>
      </c>
      <c r="G149" s="11">
        <f t="shared" si="10"/>
        <v>29436.607172359014</v>
      </c>
    </row>
    <row r="150" spans="1:7" x14ac:dyDescent="0.25">
      <c r="A150" s="168">
        <v>45119</v>
      </c>
      <c r="B150" s="15">
        <f t="shared" si="11"/>
        <v>991436.60717235901</v>
      </c>
      <c r="C150" s="15">
        <f t="shared" si="8"/>
        <v>238.22018477891407</v>
      </c>
      <c r="D150" s="15"/>
      <c r="E150" s="15"/>
      <c r="F150" s="15">
        <f t="shared" si="9"/>
        <v>991674.82735713792</v>
      </c>
      <c r="G150" s="11">
        <f t="shared" si="10"/>
        <v>29674.827357137925</v>
      </c>
    </row>
    <row r="151" spans="1:7" x14ac:dyDescent="0.25">
      <c r="A151" s="168">
        <v>45120</v>
      </c>
      <c r="B151" s="15">
        <f t="shared" si="11"/>
        <v>991674.82735713792</v>
      </c>
      <c r="C151" s="15">
        <f t="shared" si="8"/>
        <v>238.27742379553456</v>
      </c>
      <c r="D151" s="15"/>
      <c r="E151" s="15"/>
      <c r="F151" s="15">
        <f t="shared" si="9"/>
        <v>991913.10478093347</v>
      </c>
      <c r="G151" s="11">
        <f t="shared" si="10"/>
        <v>29913.10478093347</v>
      </c>
    </row>
    <row r="152" spans="1:7" x14ac:dyDescent="0.25">
      <c r="A152" s="168">
        <v>45121</v>
      </c>
      <c r="B152" s="15">
        <f t="shared" si="11"/>
        <v>991913.10478093347</v>
      </c>
      <c r="C152" s="15">
        <f t="shared" si="8"/>
        <v>238.33467656541873</v>
      </c>
      <c r="D152" s="15"/>
      <c r="E152" s="15"/>
      <c r="F152" s="15">
        <f t="shared" si="9"/>
        <v>992151.43945749884</v>
      </c>
      <c r="G152" s="11">
        <f t="shared" si="10"/>
        <v>30151.43945749884</v>
      </c>
    </row>
    <row r="153" spans="1:7" x14ac:dyDescent="0.25">
      <c r="A153" s="168">
        <v>45122</v>
      </c>
      <c r="B153" s="15">
        <f t="shared" si="11"/>
        <v>992151.43945749884</v>
      </c>
      <c r="C153" s="15">
        <f t="shared" si="8"/>
        <v>238.39194309187127</v>
      </c>
      <c r="D153" s="15"/>
      <c r="E153" s="15"/>
      <c r="F153" s="15">
        <f t="shared" si="9"/>
        <v>992389.83140059072</v>
      </c>
      <c r="G153" s="11">
        <f t="shared" si="10"/>
        <v>30389.831400590716</v>
      </c>
    </row>
    <row r="154" spans="1:7" x14ac:dyDescent="0.25">
      <c r="A154" s="168">
        <v>45123</v>
      </c>
      <c r="B154" s="15">
        <f t="shared" si="11"/>
        <v>992389.83140059072</v>
      </c>
      <c r="C154" s="15">
        <f t="shared" si="8"/>
        <v>238.4492233781975</v>
      </c>
      <c r="D154" s="15"/>
      <c r="E154" s="15"/>
      <c r="F154" s="15">
        <f t="shared" si="9"/>
        <v>992628.28062396892</v>
      </c>
      <c r="G154" s="11">
        <f t="shared" si="10"/>
        <v>30628.280623968923</v>
      </c>
    </row>
    <row r="155" spans="1:7" x14ac:dyDescent="0.25">
      <c r="A155" s="168">
        <v>45124</v>
      </c>
      <c r="B155" s="15">
        <f t="shared" si="11"/>
        <v>992628.28062396892</v>
      </c>
      <c r="C155" s="15">
        <f t="shared" si="8"/>
        <v>238.50651742770367</v>
      </c>
      <c r="D155" s="15"/>
      <c r="E155" s="15"/>
      <c r="F155" s="15">
        <f t="shared" si="9"/>
        <v>992866.78714139666</v>
      </c>
      <c r="G155" s="11">
        <f t="shared" si="10"/>
        <v>30866.787141396664</v>
      </c>
    </row>
    <row r="156" spans="1:7" x14ac:dyDescent="0.25">
      <c r="A156" s="168">
        <v>45125</v>
      </c>
      <c r="B156" s="15">
        <f t="shared" si="11"/>
        <v>992866.78714139666</v>
      </c>
      <c r="C156" s="15">
        <f t="shared" si="8"/>
        <v>238.56382524369673</v>
      </c>
      <c r="D156" s="15"/>
      <c r="E156" s="15"/>
      <c r="F156" s="15">
        <f t="shared" si="9"/>
        <v>993105.3509666404</v>
      </c>
      <c r="G156" s="11">
        <f t="shared" si="10"/>
        <v>31105.350966640399</v>
      </c>
    </row>
    <row r="157" spans="1:7" x14ac:dyDescent="0.25">
      <c r="A157" s="168">
        <v>45126</v>
      </c>
      <c r="B157" s="15">
        <f t="shared" si="11"/>
        <v>993105.3509666404</v>
      </c>
      <c r="C157" s="15">
        <f t="shared" si="8"/>
        <v>238.62114682948445</v>
      </c>
      <c r="D157" s="15"/>
      <c r="E157" s="15"/>
      <c r="F157" s="15">
        <f t="shared" si="9"/>
        <v>993343.97211346985</v>
      </c>
      <c r="G157" s="11">
        <f t="shared" si="10"/>
        <v>31343.972113469848</v>
      </c>
    </row>
    <row r="158" spans="1:7" x14ac:dyDescent="0.25">
      <c r="A158" s="168">
        <v>45127</v>
      </c>
      <c r="B158" s="15">
        <f t="shared" si="11"/>
        <v>993343.97211346985</v>
      </c>
      <c r="C158" s="15">
        <f t="shared" si="8"/>
        <v>238.6784821883754</v>
      </c>
      <c r="D158" s="15"/>
      <c r="E158" s="15"/>
      <c r="F158" s="15">
        <f t="shared" si="9"/>
        <v>993582.65059565823</v>
      </c>
      <c r="G158" s="11">
        <f t="shared" si="10"/>
        <v>31582.650595658226</v>
      </c>
    </row>
    <row r="159" spans="1:7" x14ac:dyDescent="0.25">
      <c r="A159" s="168">
        <v>45128</v>
      </c>
      <c r="B159" s="15">
        <f t="shared" si="11"/>
        <v>993582.65059565823</v>
      </c>
      <c r="C159" s="15">
        <f t="shared" si="8"/>
        <v>238.73583132367901</v>
      </c>
      <c r="D159" s="15"/>
      <c r="E159" s="15"/>
      <c r="F159" s="15">
        <f t="shared" si="9"/>
        <v>993821.38642698189</v>
      </c>
      <c r="G159" s="11">
        <f t="shared" si="10"/>
        <v>31821.386426981888</v>
      </c>
    </row>
    <row r="160" spans="1:7" x14ac:dyDescent="0.25">
      <c r="A160" s="168">
        <v>45129</v>
      </c>
      <c r="B160" s="15">
        <f t="shared" si="11"/>
        <v>993821.38642698189</v>
      </c>
      <c r="C160" s="15">
        <f t="shared" si="8"/>
        <v>238.79319423870541</v>
      </c>
      <c r="D160" s="15"/>
      <c r="E160" s="15"/>
      <c r="F160" s="15">
        <f t="shared" si="9"/>
        <v>994060.17962122057</v>
      </c>
      <c r="G160" s="11">
        <f t="shared" si="10"/>
        <v>32060.179621220566</v>
      </c>
    </row>
    <row r="161" spans="1:7" x14ac:dyDescent="0.25">
      <c r="A161" s="168">
        <v>45130</v>
      </c>
      <c r="B161" s="15">
        <f t="shared" si="11"/>
        <v>994060.17962122057</v>
      </c>
      <c r="C161" s="15">
        <f t="shared" si="8"/>
        <v>238.85057093676554</v>
      </c>
      <c r="D161" s="15"/>
      <c r="E161" s="15"/>
      <c r="F161" s="15">
        <f t="shared" si="9"/>
        <v>994299.03019215737</v>
      </c>
      <c r="G161" s="11">
        <f t="shared" si="10"/>
        <v>32299.03019215737</v>
      </c>
    </row>
    <row r="162" spans="1:7" x14ac:dyDescent="0.25">
      <c r="A162" s="168">
        <v>45131</v>
      </c>
      <c r="B162" s="15">
        <f t="shared" si="11"/>
        <v>994299.03019215737</v>
      </c>
      <c r="C162" s="15">
        <f t="shared" si="8"/>
        <v>238.90796142117114</v>
      </c>
      <c r="D162" s="15"/>
      <c r="E162" s="15"/>
      <c r="F162" s="15">
        <f t="shared" si="9"/>
        <v>994537.93815357855</v>
      </c>
      <c r="G162" s="11">
        <f t="shared" si="10"/>
        <v>32537.938153578551</v>
      </c>
    </row>
    <row r="163" spans="1:7" x14ac:dyDescent="0.25">
      <c r="A163" s="168">
        <v>45132</v>
      </c>
      <c r="B163" s="15">
        <f t="shared" si="11"/>
        <v>994537.93815357855</v>
      </c>
      <c r="C163" s="15">
        <f t="shared" si="8"/>
        <v>238.96536569523485</v>
      </c>
      <c r="D163" s="15"/>
      <c r="E163" s="15"/>
      <c r="F163" s="15">
        <f t="shared" si="9"/>
        <v>994776.90351927374</v>
      </c>
      <c r="G163" s="11">
        <f t="shared" si="10"/>
        <v>32776.903519273736</v>
      </c>
    </row>
    <row r="164" spans="1:7" x14ac:dyDescent="0.25">
      <c r="A164" s="168">
        <v>45133</v>
      </c>
      <c r="B164" s="15">
        <f t="shared" si="11"/>
        <v>994776.90351927374</v>
      </c>
      <c r="C164" s="15">
        <f t="shared" si="8"/>
        <v>239.02278376226997</v>
      </c>
      <c r="D164" s="15"/>
      <c r="E164" s="15"/>
      <c r="F164" s="15">
        <f t="shared" si="9"/>
        <v>995015.92630303605</v>
      </c>
      <c r="G164" s="11">
        <f t="shared" si="10"/>
        <v>33015.926303036045</v>
      </c>
    </row>
    <row r="165" spans="1:7" x14ac:dyDescent="0.25">
      <c r="A165" s="168">
        <v>45134</v>
      </c>
      <c r="B165" s="15">
        <f t="shared" si="11"/>
        <v>995015.92630303605</v>
      </c>
      <c r="C165" s="15">
        <f t="shared" si="8"/>
        <v>239.0802156255906</v>
      </c>
      <c r="D165" s="15"/>
      <c r="E165" s="15"/>
      <c r="F165" s="15">
        <f t="shared" si="9"/>
        <v>995255.00651866163</v>
      </c>
      <c r="G165" s="11">
        <f t="shared" si="10"/>
        <v>33255.006518661627</v>
      </c>
    </row>
    <row r="166" spans="1:7" x14ac:dyDescent="0.25">
      <c r="A166" s="168">
        <v>45135</v>
      </c>
      <c r="B166" s="15">
        <f t="shared" si="11"/>
        <v>995255.00651866163</v>
      </c>
      <c r="C166" s="15">
        <f t="shared" si="8"/>
        <v>239.13766128851179</v>
      </c>
      <c r="D166" s="15"/>
      <c r="E166" s="15"/>
      <c r="F166" s="15">
        <f t="shared" si="9"/>
        <v>995494.14417995012</v>
      </c>
      <c r="G166" s="11">
        <f t="shared" si="10"/>
        <v>33494.144179950119</v>
      </c>
    </row>
    <row r="167" spans="1:7" x14ac:dyDescent="0.25">
      <c r="A167" s="168">
        <v>45136</v>
      </c>
      <c r="B167" s="15">
        <f t="shared" si="11"/>
        <v>995494.14417995012</v>
      </c>
      <c r="C167" s="15">
        <f t="shared" si="8"/>
        <v>239.19512075434915</v>
      </c>
      <c r="D167" s="15"/>
      <c r="E167" s="15"/>
      <c r="F167" s="15">
        <f t="shared" si="9"/>
        <v>995733.33930070442</v>
      </c>
      <c r="G167" s="11">
        <f t="shared" si="10"/>
        <v>33733.339300704421</v>
      </c>
    </row>
    <row r="168" spans="1:7" x14ac:dyDescent="0.25">
      <c r="A168" s="168">
        <v>45137</v>
      </c>
      <c r="B168" s="15">
        <f t="shared" si="11"/>
        <v>995733.33930070442</v>
      </c>
      <c r="C168" s="15">
        <f t="shared" si="8"/>
        <v>239.25259402641927</v>
      </c>
      <c r="D168" s="15"/>
      <c r="E168" s="15"/>
      <c r="F168" s="15">
        <f t="shared" si="9"/>
        <v>995972.59189473081</v>
      </c>
      <c r="G168" s="11">
        <f t="shared" si="10"/>
        <v>33972.591894730809</v>
      </c>
    </row>
    <row r="169" spans="1:7" x14ac:dyDescent="0.25">
      <c r="A169" s="168">
        <v>45138</v>
      </c>
      <c r="B169" s="15">
        <f t="shared" si="11"/>
        <v>995972.59189473081</v>
      </c>
      <c r="C169" s="15">
        <f t="shared" si="8"/>
        <v>239.3100811080395</v>
      </c>
      <c r="D169" s="15"/>
      <c r="E169" s="15"/>
      <c r="F169" s="15">
        <f t="shared" si="9"/>
        <v>996211.90197583882</v>
      </c>
      <c r="G169" s="11">
        <f t="shared" si="10"/>
        <v>34211.901975838817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75F7-77CF-4DEA-94C0-E105BDE030B8}">
  <dimension ref="A1:O169"/>
  <sheetViews>
    <sheetView topLeftCell="A22" workbookViewId="0">
      <selection activeCell="A2" sqref="A2:G2"/>
    </sheetView>
  </sheetViews>
  <sheetFormatPr defaultRowHeight="15" x14ac:dyDescent="0.25"/>
  <cols>
    <col min="1" max="1" width="10.140625" bestFit="1" customWidth="1"/>
    <col min="2" max="6" width="11.7109375" customWidth="1"/>
    <col min="9" max="9" width="9.5703125" bestFit="1" customWidth="1"/>
  </cols>
  <sheetData>
    <row r="1" spans="1:15" x14ac:dyDescent="0.25">
      <c r="C1">
        <v>8.65</v>
      </c>
    </row>
    <row r="2" spans="1:15" x14ac:dyDescent="0.25">
      <c r="A2" s="17" t="s">
        <v>1</v>
      </c>
      <c r="B2" s="17" t="s">
        <v>352</v>
      </c>
      <c r="C2" s="17" t="s">
        <v>17</v>
      </c>
      <c r="D2" s="17" t="s">
        <v>740</v>
      </c>
      <c r="E2" s="17" t="s">
        <v>741</v>
      </c>
      <c r="F2" s="17" t="s">
        <v>0</v>
      </c>
      <c r="G2" s="479" t="s">
        <v>297</v>
      </c>
    </row>
    <row r="3" spans="1:15" x14ac:dyDescent="0.25">
      <c r="A3" s="168">
        <v>44972</v>
      </c>
      <c r="B3" s="15">
        <v>500000</v>
      </c>
      <c r="C3" s="15">
        <f>B3*$C$1/36000</f>
        <v>120.13888888888889</v>
      </c>
      <c r="D3" s="15"/>
      <c r="E3" s="15"/>
      <c r="F3" s="15">
        <f>B3+C3+D3+E3</f>
        <v>500120.13888888888</v>
      </c>
      <c r="G3" s="11">
        <f>F3-$B$3</f>
        <v>120.13888888887595</v>
      </c>
    </row>
    <row r="4" spans="1:15" x14ac:dyDescent="0.25">
      <c r="A4" s="168">
        <v>44973</v>
      </c>
      <c r="B4" s="15">
        <f>F3</f>
        <v>500120.13888888888</v>
      </c>
      <c r="C4" s="15">
        <f t="shared" ref="C4:C67" si="0">B4*$C$1/36000</f>
        <v>120.16775559413581</v>
      </c>
      <c r="D4" s="15"/>
      <c r="E4" s="15"/>
      <c r="F4" s="15">
        <f t="shared" ref="F4:F67" si="1">B4+C4+D4+E4</f>
        <v>500240.306644483</v>
      </c>
      <c r="G4" s="11">
        <f t="shared" ref="G4:G67" si="2">F4-$B$3</f>
        <v>240.30664448300377</v>
      </c>
      <c r="M4">
        <v>688000</v>
      </c>
      <c r="N4">
        <f>M4*9.3/1200</f>
        <v>5332.0000000000009</v>
      </c>
      <c r="O4">
        <f>N4/30</f>
        <v>177.73333333333338</v>
      </c>
    </row>
    <row r="5" spans="1:15" x14ac:dyDescent="0.25">
      <c r="A5" s="168">
        <v>44974</v>
      </c>
      <c r="B5" s="15">
        <f t="shared" ref="B5:B68" si="3">F4</f>
        <v>500240.306644483</v>
      </c>
      <c r="C5" s="15">
        <f t="shared" si="0"/>
        <v>120.1966292354105</v>
      </c>
      <c r="D5" s="15"/>
      <c r="E5" s="15"/>
      <c r="F5" s="15">
        <f t="shared" si="1"/>
        <v>500360.50327371841</v>
      </c>
      <c r="G5" s="11">
        <f t="shared" si="2"/>
        <v>360.50327371840831</v>
      </c>
      <c r="M5">
        <v>688000</v>
      </c>
      <c r="N5">
        <f>M5*9.3/1200</f>
        <v>5332.0000000000009</v>
      </c>
    </row>
    <row r="6" spans="1:15" x14ac:dyDescent="0.25">
      <c r="A6" s="168">
        <v>44975</v>
      </c>
      <c r="B6" s="15">
        <f t="shared" si="3"/>
        <v>500360.50327371841</v>
      </c>
      <c r="C6" s="15">
        <f t="shared" si="0"/>
        <v>120.22550981437955</v>
      </c>
      <c r="D6" s="15"/>
      <c r="E6" s="15"/>
      <c r="F6" s="15">
        <f t="shared" si="1"/>
        <v>500480.7287835328</v>
      </c>
      <c r="G6" s="11">
        <f t="shared" si="2"/>
        <v>480.72878353280248</v>
      </c>
    </row>
    <row r="7" spans="1:15" x14ac:dyDescent="0.25">
      <c r="A7" s="168">
        <v>44976</v>
      </c>
      <c r="B7" s="15">
        <f t="shared" si="3"/>
        <v>500480.7287835328</v>
      </c>
      <c r="C7" s="15">
        <f t="shared" si="0"/>
        <v>120.25439733270998</v>
      </c>
      <c r="D7" s="15"/>
      <c r="E7" s="15"/>
      <c r="F7" s="15">
        <f t="shared" si="1"/>
        <v>500600.98318086553</v>
      </c>
      <c r="G7" s="11">
        <f t="shared" si="2"/>
        <v>600.98318086552899</v>
      </c>
    </row>
    <row r="8" spans="1:15" x14ac:dyDescent="0.25">
      <c r="A8" s="168">
        <v>44977</v>
      </c>
      <c r="B8" s="15">
        <f t="shared" si="3"/>
        <v>500600.98318086553</v>
      </c>
      <c r="C8" s="15">
        <f t="shared" si="0"/>
        <v>120.28329179206909</v>
      </c>
      <c r="D8" s="15"/>
      <c r="E8" s="15"/>
      <c r="F8" s="15">
        <f t="shared" si="1"/>
        <v>500721.26647265762</v>
      </c>
      <c r="G8" s="11">
        <f t="shared" si="2"/>
        <v>721.26647265761858</v>
      </c>
    </row>
    <row r="9" spans="1:15" x14ac:dyDescent="0.25">
      <c r="A9" s="168">
        <v>44978</v>
      </c>
      <c r="B9" s="15">
        <f t="shared" si="3"/>
        <v>500721.26647265762</v>
      </c>
      <c r="C9" s="15">
        <f t="shared" si="0"/>
        <v>120.31219319412469</v>
      </c>
      <c r="D9" s="15"/>
      <c r="E9" s="15"/>
      <c r="F9" s="15">
        <f t="shared" si="1"/>
        <v>500841.57866585173</v>
      </c>
      <c r="G9" s="11">
        <f t="shared" si="2"/>
        <v>841.57866585173178</v>
      </c>
    </row>
    <row r="10" spans="1:15" x14ac:dyDescent="0.25">
      <c r="A10" s="168">
        <v>44979</v>
      </c>
      <c r="B10" s="15">
        <f t="shared" si="3"/>
        <v>500841.57866585173</v>
      </c>
      <c r="C10" s="15">
        <f t="shared" si="0"/>
        <v>120.34110154054493</v>
      </c>
      <c r="D10" s="15"/>
      <c r="E10" s="15"/>
      <c r="F10" s="15">
        <f t="shared" si="1"/>
        <v>500961.91976739228</v>
      </c>
      <c r="G10" s="11">
        <f t="shared" si="2"/>
        <v>961.91976739227539</v>
      </c>
    </row>
    <row r="11" spans="1:15" x14ac:dyDescent="0.25">
      <c r="A11" s="168">
        <v>44980</v>
      </c>
      <c r="B11" s="15">
        <f t="shared" si="3"/>
        <v>500961.91976739228</v>
      </c>
      <c r="C11" s="15">
        <f t="shared" si="0"/>
        <v>120.37001683299843</v>
      </c>
      <c r="D11" s="15"/>
      <c r="E11" s="15"/>
      <c r="F11" s="15">
        <f t="shared" si="1"/>
        <v>501082.28978422529</v>
      </c>
      <c r="G11" s="11">
        <f t="shared" si="2"/>
        <v>1082.289784225286</v>
      </c>
    </row>
    <row r="12" spans="1:15" x14ac:dyDescent="0.25">
      <c r="A12" s="168">
        <v>44981</v>
      </c>
      <c r="B12" s="15">
        <f t="shared" si="3"/>
        <v>501082.28978422529</v>
      </c>
      <c r="C12" s="15">
        <f t="shared" si="0"/>
        <v>120.39893907315414</v>
      </c>
      <c r="D12" s="15"/>
      <c r="E12" s="15"/>
      <c r="F12" s="15">
        <f t="shared" si="1"/>
        <v>501202.68872329843</v>
      </c>
      <c r="G12" s="11">
        <f t="shared" si="2"/>
        <v>1202.68872329843</v>
      </c>
      <c r="J12" s="11">
        <f>SUM(C3:C46)</f>
        <v>5294.2542005606574</v>
      </c>
    </row>
    <row r="13" spans="1:15" x14ac:dyDescent="0.25">
      <c r="A13" s="168">
        <v>44982</v>
      </c>
      <c r="B13" s="15">
        <f t="shared" si="3"/>
        <v>501202.68872329843</v>
      </c>
      <c r="C13" s="15">
        <f t="shared" si="0"/>
        <v>120.42786826268144</v>
      </c>
      <c r="D13" s="15"/>
      <c r="E13" s="15"/>
      <c r="F13" s="15">
        <f t="shared" si="1"/>
        <v>501323.11659156112</v>
      </c>
      <c r="G13" s="11">
        <f t="shared" si="2"/>
        <v>1323.11659156112</v>
      </c>
    </row>
    <row r="14" spans="1:15" x14ac:dyDescent="0.25">
      <c r="A14" s="168">
        <v>44983</v>
      </c>
      <c r="B14" s="15">
        <f t="shared" si="3"/>
        <v>501323.11659156112</v>
      </c>
      <c r="C14" s="15">
        <f t="shared" si="0"/>
        <v>120.4568044032501</v>
      </c>
      <c r="D14" s="15"/>
      <c r="E14" s="15"/>
      <c r="F14" s="15">
        <f t="shared" si="1"/>
        <v>501443.5733959644</v>
      </c>
      <c r="G14" s="11">
        <f t="shared" si="2"/>
        <v>1443.5733959643985</v>
      </c>
    </row>
    <row r="15" spans="1:15" x14ac:dyDescent="0.25">
      <c r="A15" s="168">
        <v>44984</v>
      </c>
      <c r="B15" s="15">
        <f t="shared" si="3"/>
        <v>501443.5733959644</v>
      </c>
      <c r="C15" s="15">
        <f t="shared" si="0"/>
        <v>120.48574749653034</v>
      </c>
      <c r="D15" s="15"/>
      <c r="E15" s="15"/>
      <c r="F15" s="15">
        <f t="shared" si="1"/>
        <v>501564.05914346094</v>
      </c>
      <c r="G15" s="11">
        <f t="shared" si="2"/>
        <v>1564.0591434609378</v>
      </c>
    </row>
    <row r="16" spans="1:15" x14ac:dyDescent="0.25">
      <c r="A16" s="168">
        <v>44985</v>
      </c>
      <c r="B16" s="15">
        <f t="shared" si="3"/>
        <v>501564.05914346094</v>
      </c>
      <c r="C16" s="15">
        <f t="shared" si="0"/>
        <v>120.51469754419271</v>
      </c>
      <c r="D16" s="15"/>
      <c r="E16" s="15"/>
      <c r="F16" s="15">
        <f t="shared" si="1"/>
        <v>501684.57384100516</v>
      </c>
      <c r="G16" s="11">
        <f t="shared" si="2"/>
        <v>1684.5738410051563</v>
      </c>
    </row>
    <row r="17" spans="1:9" x14ac:dyDescent="0.25">
      <c r="A17" s="168">
        <v>44986</v>
      </c>
      <c r="B17" s="15">
        <f t="shared" si="3"/>
        <v>501684.57384100516</v>
      </c>
      <c r="C17" s="15">
        <f t="shared" si="0"/>
        <v>120.54365454790819</v>
      </c>
      <c r="D17" s="15"/>
      <c r="E17" s="15"/>
      <c r="F17" s="15">
        <f t="shared" si="1"/>
        <v>501805.11749555304</v>
      </c>
      <c r="G17" s="11">
        <f t="shared" si="2"/>
        <v>1805.1174955530441</v>
      </c>
    </row>
    <row r="18" spans="1:9" x14ac:dyDescent="0.25">
      <c r="A18" s="168">
        <v>44987</v>
      </c>
      <c r="B18" s="15">
        <f t="shared" si="3"/>
        <v>501805.11749555304</v>
      </c>
      <c r="C18" s="15">
        <f t="shared" si="0"/>
        <v>120.57261850934817</v>
      </c>
      <c r="D18" s="15"/>
      <c r="E18" s="15"/>
      <c r="F18" s="15">
        <f t="shared" si="1"/>
        <v>501925.6901140624</v>
      </c>
      <c r="G18" s="11">
        <f t="shared" si="2"/>
        <v>1925.6901140623959</v>
      </c>
      <c r="I18" s="11"/>
    </row>
    <row r="19" spans="1:9" x14ac:dyDescent="0.25">
      <c r="A19" s="168">
        <v>44988</v>
      </c>
      <c r="B19" s="15">
        <f t="shared" si="3"/>
        <v>501925.6901140624</v>
      </c>
      <c r="C19" s="15">
        <f t="shared" si="0"/>
        <v>120.60158943018445</v>
      </c>
      <c r="D19" s="15"/>
      <c r="E19" s="15"/>
      <c r="F19" s="15">
        <f t="shared" si="1"/>
        <v>502046.29170349258</v>
      </c>
      <c r="G19" s="11">
        <f t="shared" si="2"/>
        <v>2046.2917034925777</v>
      </c>
      <c r="I19" s="11"/>
    </row>
    <row r="20" spans="1:9" x14ac:dyDescent="0.25">
      <c r="A20" s="168">
        <v>44989</v>
      </c>
      <c r="B20" s="15">
        <f t="shared" si="3"/>
        <v>502046.29170349258</v>
      </c>
      <c r="C20" s="15">
        <f t="shared" si="0"/>
        <v>120.63056731208918</v>
      </c>
      <c r="D20" s="15"/>
      <c r="E20" s="15"/>
      <c r="F20" s="15">
        <f t="shared" si="1"/>
        <v>502166.92227080464</v>
      </c>
      <c r="G20" s="11">
        <f t="shared" si="2"/>
        <v>2166.9222708046436</v>
      </c>
      <c r="I20" s="11"/>
    </row>
    <row r="21" spans="1:9" x14ac:dyDescent="0.25">
      <c r="A21" s="168">
        <v>44990</v>
      </c>
      <c r="B21" s="15">
        <f t="shared" si="3"/>
        <v>502166.92227080464</v>
      </c>
      <c r="C21" s="15">
        <f t="shared" si="0"/>
        <v>120.659552156735</v>
      </c>
      <c r="D21" s="15"/>
      <c r="E21" s="15"/>
      <c r="F21" s="15">
        <f t="shared" si="1"/>
        <v>502287.58182296139</v>
      </c>
      <c r="G21" s="11">
        <f t="shared" si="2"/>
        <v>2287.5818229613942</v>
      </c>
      <c r="I21" s="11"/>
    </row>
    <row r="22" spans="1:9" x14ac:dyDescent="0.25">
      <c r="A22" s="168">
        <v>44991</v>
      </c>
      <c r="B22" s="15">
        <f t="shared" si="3"/>
        <v>502287.58182296139</v>
      </c>
      <c r="C22" s="15">
        <f t="shared" si="0"/>
        <v>120.68854396579489</v>
      </c>
      <c r="D22" s="15"/>
      <c r="E22" s="15"/>
      <c r="F22" s="15">
        <f t="shared" si="1"/>
        <v>502408.2703669272</v>
      </c>
      <c r="G22" s="11">
        <f t="shared" si="2"/>
        <v>2408.2703669272014</v>
      </c>
      <c r="I22" s="11"/>
    </row>
    <row r="23" spans="1:9" x14ac:dyDescent="0.25">
      <c r="A23" s="168">
        <v>44992</v>
      </c>
      <c r="B23" s="15">
        <f t="shared" si="3"/>
        <v>502408.2703669272</v>
      </c>
      <c r="C23" s="15">
        <f t="shared" si="0"/>
        <v>120.71754274094224</v>
      </c>
      <c r="D23" s="15"/>
      <c r="E23" s="15"/>
      <c r="F23" s="15">
        <f t="shared" si="1"/>
        <v>502528.98790966813</v>
      </c>
      <c r="G23" s="11">
        <f t="shared" si="2"/>
        <v>2528.9879096681252</v>
      </c>
      <c r="I23" s="11"/>
    </row>
    <row r="24" spans="1:9" x14ac:dyDescent="0.25">
      <c r="A24" s="168">
        <v>44993</v>
      </c>
      <c r="B24" s="15">
        <f t="shared" si="3"/>
        <v>502528.98790966813</v>
      </c>
      <c r="C24" s="15">
        <f t="shared" si="0"/>
        <v>120.74654848385082</v>
      </c>
      <c r="D24" s="15"/>
      <c r="E24" s="15"/>
      <c r="F24" s="15">
        <f t="shared" si="1"/>
        <v>502649.73445815197</v>
      </c>
      <c r="G24" s="11">
        <f t="shared" si="2"/>
        <v>2649.7344581519719</v>
      </c>
      <c r="I24" s="11"/>
    </row>
    <row r="25" spans="1:9" x14ac:dyDescent="0.25">
      <c r="A25" s="168">
        <v>44994</v>
      </c>
      <c r="B25" s="15">
        <f t="shared" si="3"/>
        <v>502649.73445815197</v>
      </c>
      <c r="C25" s="15">
        <f t="shared" si="0"/>
        <v>120.77556119619486</v>
      </c>
      <c r="D25" s="15"/>
      <c r="E25" s="15"/>
      <c r="F25" s="15">
        <f t="shared" si="1"/>
        <v>502770.51001934818</v>
      </c>
      <c r="G25" s="11">
        <f t="shared" si="2"/>
        <v>2770.5100193481776</v>
      </c>
      <c r="I25" s="11"/>
    </row>
    <row r="26" spans="1:9" x14ac:dyDescent="0.25">
      <c r="A26" s="168">
        <v>44995</v>
      </c>
      <c r="B26" s="15">
        <f t="shared" si="3"/>
        <v>502770.51001934818</v>
      </c>
      <c r="C26" s="15">
        <f t="shared" si="0"/>
        <v>120.80458087964894</v>
      </c>
      <c r="D26" s="15"/>
      <c r="E26" s="15"/>
      <c r="F26" s="15">
        <f t="shared" si="1"/>
        <v>502891.31460022781</v>
      </c>
      <c r="G26" s="11">
        <f t="shared" si="2"/>
        <v>2891.3146002278081</v>
      </c>
      <c r="I26" s="11"/>
    </row>
    <row r="27" spans="1:9" x14ac:dyDescent="0.25">
      <c r="A27" s="168">
        <v>44996</v>
      </c>
      <c r="B27" s="15">
        <f t="shared" si="3"/>
        <v>502891.31460022781</v>
      </c>
      <c r="C27" s="15">
        <f t="shared" si="0"/>
        <v>120.83360753588808</v>
      </c>
      <c r="D27" s="15"/>
      <c r="E27" s="15"/>
      <c r="F27" s="15">
        <f t="shared" si="1"/>
        <v>503012.14820776368</v>
      </c>
      <c r="G27" s="11">
        <f t="shared" si="2"/>
        <v>3012.1482077636756</v>
      </c>
      <c r="I27" s="11"/>
    </row>
    <row r="28" spans="1:9" x14ac:dyDescent="0.25">
      <c r="A28" s="168">
        <v>44997</v>
      </c>
      <c r="B28" s="15">
        <f t="shared" si="3"/>
        <v>503012.14820776368</v>
      </c>
      <c r="C28" s="15">
        <f t="shared" si="0"/>
        <v>120.86264116658766</v>
      </c>
      <c r="D28" s="15"/>
      <c r="E28" s="15"/>
      <c r="F28" s="15">
        <f t="shared" si="1"/>
        <v>503133.01084893028</v>
      </c>
      <c r="G28" s="11">
        <f t="shared" si="2"/>
        <v>3133.0108489302802</v>
      </c>
      <c r="I28" s="11"/>
    </row>
    <row r="29" spans="1:9" x14ac:dyDescent="0.25">
      <c r="A29" s="168">
        <v>44998</v>
      </c>
      <c r="B29" s="15">
        <f t="shared" si="3"/>
        <v>503133.01084893028</v>
      </c>
      <c r="C29" s="15">
        <f t="shared" si="0"/>
        <v>120.89168177342353</v>
      </c>
      <c r="D29" s="15"/>
      <c r="E29" s="15"/>
      <c r="F29" s="15">
        <f t="shared" si="1"/>
        <v>503253.90253070369</v>
      </c>
      <c r="G29" s="11">
        <f t="shared" si="2"/>
        <v>3253.9025307036936</v>
      </c>
      <c r="I29" s="11"/>
    </row>
    <row r="30" spans="1:9" x14ac:dyDescent="0.25">
      <c r="A30" s="168">
        <v>44999</v>
      </c>
      <c r="B30" s="15">
        <f t="shared" si="3"/>
        <v>503253.90253070369</v>
      </c>
      <c r="C30" s="15">
        <f t="shared" si="0"/>
        <v>120.92072935807188</v>
      </c>
      <c r="D30" s="15">
        <v>-5000</v>
      </c>
      <c r="E30" s="15"/>
      <c r="F30" s="15">
        <f t="shared" si="1"/>
        <v>498374.82326006179</v>
      </c>
      <c r="G30" s="11">
        <f t="shared" si="2"/>
        <v>-1625.1767399382079</v>
      </c>
      <c r="I30" s="11"/>
    </row>
    <row r="31" spans="1:9" x14ac:dyDescent="0.25">
      <c r="A31" s="168">
        <v>45000</v>
      </c>
      <c r="B31" s="15">
        <f t="shared" si="3"/>
        <v>498374.82326006179</v>
      </c>
      <c r="C31" s="15">
        <f t="shared" si="0"/>
        <v>119.74839503332041</v>
      </c>
      <c r="D31" s="15"/>
      <c r="E31" s="15"/>
      <c r="F31" s="15">
        <f t="shared" si="1"/>
        <v>498494.57165509509</v>
      </c>
      <c r="G31" s="11">
        <f t="shared" si="2"/>
        <v>-1505.4283449049108</v>
      </c>
    </row>
    <row r="32" spans="1:9" x14ac:dyDescent="0.25">
      <c r="A32" s="168">
        <v>45001</v>
      </c>
      <c r="B32" s="15">
        <f t="shared" si="3"/>
        <v>498494.57165509509</v>
      </c>
      <c r="C32" s="15">
        <f t="shared" si="0"/>
        <v>119.77716791157148</v>
      </c>
      <c r="D32" s="15"/>
      <c r="E32" s="15"/>
      <c r="F32" s="15">
        <f t="shared" si="1"/>
        <v>498614.34882300667</v>
      </c>
      <c r="G32" s="11">
        <f t="shared" si="2"/>
        <v>-1385.6511769933277</v>
      </c>
    </row>
    <row r="33" spans="1:7" x14ac:dyDescent="0.25">
      <c r="A33" s="168">
        <v>45002</v>
      </c>
      <c r="B33" s="15">
        <f t="shared" si="3"/>
        <v>498614.34882300667</v>
      </c>
      <c r="C33" s="15">
        <f t="shared" si="0"/>
        <v>119.80594770330579</v>
      </c>
      <c r="D33" s="15"/>
      <c r="E33" s="15"/>
      <c r="F33" s="15">
        <f t="shared" si="1"/>
        <v>498734.15477070998</v>
      </c>
      <c r="G33" s="11">
        <f t="shared" si="2"/>
        <v>-1265.8452292900183</v>
      </c>
    </row>
    <row r="34" spans="1:7" x14ac:dyDescent="0.25">
      <c r="A34" s="168">
        <v>45003</v>
      </c>
      <c r="B34" s="15">
        <f t="shared" si="3"/>
        <v>498734.15477070998</v>
      </c>
      <c r="C34" s="15">
        <f t="shared" si="0"/>
        <v>119.83473441018448</v>
      </c>
      <c r="D34" s="15"/>
      <c r="E34" s="15"/>
      <c r="F34" s="15">
        <f t="shared" si="1"/>
        <v>498853.98950512015</v>
      </c>
      <c r="G34" s="11">
        <f t="shared" si="2"/>
        <v>-1146.0104948798544</v>
      </c>
    </row>
    <row r="35" spans="1:7" x14ac:dyDescent="0.25">
      <c r="A35" s="168">
        <v>45004</v>
      </c>
      <c r="B35" s="15">
        <f t="shared" si="3"/>
        <v>498853.98950512015</v>
      </c>
      <c r="C35" s="15">
        <f t="shared" si="0"/>
        <v>119.86352803386916</v>
      </c>
      <c r="D35" s="15"/>
      <c r="E35" s="15"/>
      <c r="F35" s="15">
        <f t="shared" si="1"/>
        <v>498973.85303315404</v>
      </c>
      <c r="G35" s="11">
        <f t="shared" si="2"/>
        <v>-1026.1469668459613</v>
      </c>
    </row>
    <row r="36" spans="1:7" x14ac:dyDescent="0.25">
      <c r="A36" s="168">
        <v>45005</v>
      </c>
      <c r="B36" s="15">
        <f t="shared" si="3"/>
        <v>498973.85303315404</v>
      </c>
      <c r="C36" s="15">
        <f t="shared" si="0"/>
        <v>119.89232857602175</v>
      </c>
      <c r="D36" s="15"/>
      <c r="E36" s="15"/>
      <c r="F36" s="15">
        <f t="shared" si="1"/>
        <v>499093.74536173005</v>
      </c>
      <c r="G36" s="11">
        <f t="shared" si="2"/>
        <v>-906.2546382699511</v>
      </c>
    </row>
    <row r="37" spans="1:7" x14ac:dyDescent="0.25">
      <c r="A37" s="168">
        <v>45006</v>
      </c>
      <c r="B37" s="15">
        <f t="shared" si="3"/>
        <v>499093.74536173005</v>
      </c>
      <c r="C37" s="15">
        <f t="shared" si="0"/>
        <v>119.9211360383046</v>
      </c>
      <c r="D37" s="15"/>
      <c r="E37" s="15"/>
      <c r="F37" s="15">
        <f t="shared" si="1"/>
        <v>499213.66649776837</v>
      </c>
      <c r="G37" s="11">
        <f t="shared" si="2"/>
        <v>-786.33350223163143</v>
      </c>
    </row>
    <row r="38" spans="1:7" x14ac:dyDescent="0.25">
      <c r="A38" s="168">
        <v>45007</v>
      </c>
      <c r="B38" s="15">
        <f t="shared" si="3"/>
        <v>499213.66649776837</v>
      </c>
      <c r="C38" s="15">
        <f t="shared" si="0"/>
        <v>119.94995042238045</v>
      </c>
      <c r="D38" s="15"/>
      <c r="E38" s="15"/>
      <c r="F38" s="15">
        <f t="shared" si="1"/>
        <v>499333.61644819076</v>
      </c>
      <c r="G38" s="11">
        <f t="shared" si="2"/>
        <v>-666.38355180923827</v>
      </c>
    </row>
    <row r="39" spans="1:7" x14ac:dyDescent="0.25">
      <c r="A39" s="168">
        <v>45008</v>
      </c>
      <c r="B39" s="15">
        <f t="shared" si="3"/>
        <v>499333.61644819076</v>
      </c>
      <c r="C39" s="15">
        <f t="shared" si="0"/>
        <v>119.97877172991251</v>
      </c>
      <c r="D39" s="15"/>
      <c r="E39" s="15"/>
      <c r="F39" s="15">
        <f t="shared" si="1"/>
        <v>499453.59521992068</v>
      </c>
      <c r="G39" s="11">
        <f t="shared" si="2"/>
        <v>-546.40478007931961</v>
      </c>
    </row>
    <row r="40" spans="1:7" x14ac:dyDescent="0.25">
      <c r="A40" s="168">
        <v>45009</v>
      </c>
      <c r="B40" s="15">
        <f t="shared" si="3"/>
        <v>499453.59521992068</v>
      </c>
      <c r="C40" s="15">
        <f t="shared" si="0"/>
        <v>120.00759996256429</v>
      </c>
      <c r="D40" s="15"/>
      <c r="E40" s="15"/>
      <c r="F40" s="15">
        <f t="shared" si="1"/>
        <v>499573.60281988326</v>
      </c>
      <c r="G40" s="11">
        <f t="shared" si="2"/>
        <v>-426.3971801167354</v>
      </c>
    </row>
    <row r="41" spans="1:7" x14ac:dyDescent="0.25">
      <c r="A41" s="168">
        <v>45010</v>
      </c>
      <c r="B41" s="15">
        <f t="shared" si="3"/>
        <v>499573.60281988326</v>
      </c>
      <c r="C41" s="15">
        <f t="shared" si="0"/>
        <v>120.03643512199974</v>
      </c>
      <c r="D41" s="15"/>
      <c r="E41" s="15"/>
      <c r="F41" s="15">
        <f t="shared" si="1"/>
        <v>499693.63925500528</v>
      </c>
      <c r="G41" s="11">
        <f t="shared" si="2"/>
        <v>-306.36074499471579</v>
      </c>
    </row>
    <row r="42" spans="1:7" x14ac:dyDescent="0.25">
      <c r="A42" s="168">
        <v>45011</v>
      </c>
      <c r="B42" s="15">
        <f t="shared" si="3"/>
        <v>499693.63925500528</v>
      </c>
      <c r="C42" s="15">
        <f t="shared" si="0"/>
        <v>120.06527720988322</v>
      </c>
      <c r="D42" s="15"/>
      <c r="E42" s="15"/>
      <c r="F42" s="15">
        <f t="shared" si="1"/>
        <v>499813.70453221514</v>
      </c>
      <c r="G42" s="11">
        <f t="shared" si="2"/>
        <v>-186.2954677848611</v>
      </c>
    </row>
    <row r="43" spans="1:7" x14ac:dyDescent="0.25">
      <c r="A43" s="168">
        <v>45012</v>
      </c>
      <c r="B43" s="15">
        <f t="shared" si="3"/>
        <v>499813.70453221514</v>
      </c>
      <c r="C43" s="15">
        <f t="shared" si="0"/>
        <v>120.09412622787949</v>
      </c>
      <c r="D43" s="15"/>
      <c r="E43" s="15"/>
      <c r="F43" s="15">
        <f t="shared" si="1"/>
        <v>499933.79865844303</v>
      </c>
      <c r="G43" s="11">
        <f t="shared" si="2"/>
        <v>-66.201341556967236</v>
      </c>
    </row>
    <row r="44" spans="1:7" x14ac:dyDescent="0.25">
      <c r="A44" s="168">
        <v>45013</v>
      </c>
      <c r="B44" s="15">
        <f t="shared" si="3"/>
        <v>499933.79865844303</v>
      </c>
      <c r="C44" s="15">
        <f t="shared" si="0"/>
        <v>120.12298217765368</v>
      </c>
      <c r="D44" s="15"/>
      <c r="E44" s="15"/>
      <c r="F44" s="15">
        <f t="shared" si="1"/>
        <v>500053.92164062068</v>
      </c>
      <c r="G44" s="11">
        <f t="shared" si="2"/>
        <v>53.92164062068332</v>
      </c>
    </row>
    <row r="45" spans="1:7" x14ac:dyDescent="0.25">
      <c r="A45" s="168">
        <v>45014</v>
      </c>
      <c r="B45" s="15">
        <f t="shared" si="3"/>
        <v>500053.92164062068</v>
      </c>
      <c r="C45" s="15">
        <f t="shared" si="0"/>
        <v>120.15184506087137</v>
      </c>
      <c r="D45" s="15"/>
      <c r="E45" s="15"/>
      <c r="F45" s="15">
        <f t="shared" si="1"/>
        <v>500174.07348568155</v>
      </c>
      <c r="G45" s="11">
        <f t="shared" si="2"/>
        <v>174.0734856815543</v>
      </c>
    </row>
    <row r="46" spans="1:7" x14ac:dyDescent="0.25">
      <c r="A46" s="168">
        <v>45015</v>
      </c>
      <c r="B46" s="15">
        <f t="shared" si="3"/>
        <v>500174.07348568155</v>
      </c>
      <c r="C46" s="15">
        <f t="shared" si="0"/>
        <v>120.18071487919849</v>
      </c>
      <c r="D46" s="15"/>
      <c r="E46" s="15"/>
      <c r="F46" s="15">
        <f t="shared" si="1"/>
        <v>500294.25420056074</v>
      </c>
      <c r="G46" s="11">
        <f t="shared" si="2"/>
        <v>294.25420056073926</v>
      </c>
    </row>
    <row r="47" spans="1:7" x14ac:dyDescent="0.25">
      <c r="A47" s="168">
        <v>45016</v>
      </c>
      <c r="B47" s="15">
        <f t="shared" si="3"/>
        <v>500294.25420056074</v>
      </c>
      <c r="C47" s="15">
        <f t="shared" si="0"/>
        <v>120.20959163430142</v>
      </c>
      <c r="D47" s="15"/>
      <c r="E47" s="15"/>
      <c r="F47" s="15">
        <f t="shared" si="1"/>
        <v>500414.46379219502</v>
      </c>
      <c r="G47" s="11">
        <f t="shared" si="2"/>
        <v>414.46379219501978</v>
      </c>
    </row>
    <row r="48" spans="1:7" x14ac:dyDescent="0.25">
      <c r="A48" s="168">
        <v>45017</v>
      </c>
      <c r="B48" s="15">
        <f t="shared" si="3"/>
        <v>500414.46379219502</v>
      </c>
      <c r="C48" s="15">
        <f t="shared" si="0"/>
        <v>120.23847532784686</v>
      </c>
      <c r="D48" s="15"/>
      <c r="E48" s="15"/>
      <c r="F48" s="15">
        <f t="shared" si="1"/>
        <v>500534.70226752287</v>
      </c>
      <c r="G48" s="11">
        <f t="shared" si="2"/>
        <v>534.70226752286544</v>
      </c>
    </row>
    <row r="49" spans="1:7" x14ac:dyDescent="0.25">
      <c r="A49" s="168">
        <v>45018</v>
      </c>
      <c r="B49" s="15">
        <f t="shared" si="3"/>
        <v>500534.70226752287</v>
      </c>
      <c r="C49" s="15">
        <f t="shared" si="0"/>
        <v>120.26736596150202</v>
      </c>
      <c r="D49" s="15"/>
      <c r="E49" s="15"/>
      <c r="F49" s="15">
        <f t="shared" si="1"/>
        <v>500654.96963348438</v>
      </c>
      <c r="G49" s="11">
        <f t="shared" si="2"/>
        <v>654.96963348437566</v>
      </c>
    </row>
    <row r="50" spans="1:7" x14ac:dyDescent="0.25">
      <c r="A50" s="168">
        <v>45019</v>
      </c>
      <c r="B50" s="15">
        <f t="shared" si="3"/>
        <v>500654.96963348438</v>
      </c>
      <c r="C50" s="15">
        <f t="shared" si="0"/>
        <v>120.29626353693446</v>
      </c>
      <c r="D50" s="15"/>
      <c r="E50" s="15"/>
      <c r="F50" s="15">
        <f t="shared" si="1"/>
        <v>500775.26589702134</v>
      </c>
      <c r="G50" s="11">
        <f t="shared" si="2"/>
        <v>775.26589702133788</v>
      </c>
    </row>
    <row r="51" spans="1:7" x14ac:dyDescent="0.25">
      <c r="A51" s="168">
        <v>45020</v>
      </c>
      <c r="B51" s="15">
        <f t="shared" si="3"/>
        <v>500775.26589702134</v>
      </c>
      <c r="C51" s="15">
        <f t="shared" si="0"/>
        <v>120.32516805581207</v>
      </c>
      <c r="D51" s="15"/>
      <c r="E51" s="15"/>
      <c r="F51" s="15">
        <f t="shared" si="1"/>
        <v>500895.59106507717</v>
      </c>
      <c r="G51" s="11">
        <f t="shared" si="2"/>
        <v>895.59106507716933</v>
      </c>
    </row>
    <row r="52" spans="1:7" x14ac:dyDescent="0.25">
      <c r="A52" s="168">
        <v>45021</v>
      </c>
      <c r="B52" s="15">
        <f t="shared" si="3"/>
        <v>500895.59106507717</v>
      </c>
      <c r="C52" s="15">
        <f t="shared" si="0"/>
        <v>120.35407951980328</v>
      </c>
      <c r="D52" s="15"/>
      <c r="E52" s="15"/>
      <c r="F52" s="15">
        <f t="shared" si="1"/>
        <v>501015.94514459698</v>
      </c>
      <c r="G52" s="11">
        <f t="shared" si="2"/>
        <v>1015.9451445969753</v>
      </c>
    </row>
    <row r="53" spans="1:7" x14ac:dyDescent="0.25">
      <c r="A53" s="168">
        <v>45022</v>
      </c>
      <c r="B53" s="15">
        <f t="shared" si="3"/>
        <v>501015.94514459698</v>
      </c>
      <c r="C53" s="15">
        <f t="shared" si="0"/>
        <v>120.38299793057676</v>
      </c>
      <c r="D53" s="15"/>
      <c r="E53" s="15"/>
      <c r="F53" s="15">
        <f t="shared" si="1"/>
        <v>501136.32814252755</v>
      </c>
      <c r="G53" s="11">
        <f t="shared" si="2"/>
        <v>1136.3281425275491</v>
      </c>
    </row>
    <row r="54" spans="1:7" x14ac:dyDescent="0.25">
      <c r="A54" s="168">
        <v>45023</v>
      </c>
      <c r="B54" s="15">
        <f t="shared" si="3"/>
        <v>501136.32814252755</v>
      </c>
      <c r="C54" s="15">
        <f t="shared" si="0"/>
        <v>120.41192328980178</v>
      </c>
      <c r="D54" s="15"/>
      <c r="E54" s="15"/>
      <c r="F54" s="15">
        <f t="shared" si="1"/>
        <v>501256.74006581737</v>
      </c>
      <c r="G54" s="11">
        <f t="shared" si="2"/>
        <v>1256.7400658173719</v>
      </c>
    </row>
    <row r="55" spans="1:7" x14ac:dyDescent="0.25">
      <c r="A55" s="168">
        <v>45024</v>
      </c>
      <c r="B55" s="15">
        <f t="shared" si="3"/>
        <v>501256.74006581737</v>
      </c>
      <c r="C55" s="15">
        <f t="shared" si="0"/>
        <v>120.44085559914778</v>
      </c>
      <c r="D55" s="15"/>
      <c r="E55" s="15"/>
      <c r="F55" s="15">
        <f t="shared" si="1"/>
        <v>501377.1809214165</v>
      </c>
      <c r="G55" s="11">
        <f t="shared" si="2"/>
        <v>1377.1809214164969</v>
      </c>
    </row>
    <row r="56" spans="1:7" x14ac:dyDescent="0.25">
      <c r="A56" s="168">
        <v>45025</v>
      </c>
      <c r="B56" s="15">
        <f t="shared" si="3"/>
        <v>501377.1809214165</v>
      </c>
      <c r="C56" s="15">
        <f t="shared" si="0"/>
        <v>120.46979486028481</v>
      </c>
      <c r="D56" s="15"/>
      <c r="E56" s="15"/>
      <c r="F56" s="15">
        <f t="shared" si="1"/>
        <v>501497.65071627678</v>
      </c>
      <c r="G56" s="11">
        <f t="shared" si="2"/>
        <v>1497.6507162767812</v>
      </c>
    </row>
    <row r="57" spans="1:7" x14ac:dyDescent="0.25">
      <c r="A57" s="168">
        <v>45026</v>
      </c>
      <c r="B57" s="15">
        <f t="shared" si="3"/>
        <v>501497.65071627678</v>
      </c>
      <c r="C57" s="15">
        <f t="shared" si="0"/>
        <v>120.49874107488317</v>
      </c>
      <c r="D57" s="15"/>
      <c r="E57" s="15"/>
      <c r="F57" s="15">
        <f t="shared" si="1"/>
        <v>501618.14945735165</v>
      </c>
      <c r="G57" s="11">
        <f t="shared" si="2"/>
        <v>1618.1494573516538</v>
      </c>
    </row>
    <row r="58" spans="1:7" x14ac:dyDescent="0.25">
      <c r="A58" s="168">
        <v>45027</v>
      </c>
      <c r="B58" s="15">
        <f t="shared" si="3"/>
        <v>501618.14945735165</v>
      </c>
      <c r="C58" s="15">
        <f t="shared" si="0"/>
        <v>120.52769424461367</v>
      </c>
      <c r="D58" s="15"/>
      <c r="E58" s="15"/>
      <c r="F58" s="15">
        <f t="shared" si="1"/>
        <v>501738.67715159629</v>
      </c>
      <c r="G58" s="11">
        <f t="shared" si="2"/>
        <v>1738.6771515962901</v>
      </c>
    </row>
    <row r="59" spans="1:7" x14ac:dyDescent="0.25">
      <c r="A59" s="168">
        <v>45028</v>
      </c>
      <c r="B59" s="15">
        <f t="shared" si="3"/>
        <v>501738.67715159629</v>
      </c>
      <c r="C59" s="15">
        <f t="shared" si="0"/>
        <v>120.55665437114746</v>
      </c>
      <c r="D59" s="15"/>
      <c r="E59" s="15"/>
      <c r="F59" s="15">
        <f t="shared" si="1"/>
        <v>501859.23380596744</v>
      </c>
      <c r="G59" s="11">
        <f t="shared" si="2"/>
        <v>1859.2338059674366</v>
      </c>
    </row>
    <row r="60" spans="1:7" x14ac:dyDescent="0.25">
      <c r="A60" s="168">
        <v>45029</v>
      </c>
      <c r="B60" s="15">
        <f t="shared" si="3"/>
        <v>501859.23380596744</v>
      </c>
      <c r="C60" s="15">
        <f t="shared" si="0"/>
        <v>120.58562145615608</v>
      </c>
      <c r="D60" s="15"/>
      <c r="E60" s="15"/>
      <c r="F60" s="15">
        <f t="shared" si="1"/>
        <v>501979.81942742359</v>
      </c>
      <c r="G60" s="11">
        <f t="shared" si="2"/>
        <v>1979.8194274235866</v>
      </c>
    </row>
    <row r="61" spans="1:7" x14ac:dyDescent="0.25">
      <c r="A61" s="168">
        <v>45030</v>
      </c>
      <c r="B61" s="15">
        <f t="shared" si="3"/>
        <v>501979.81942742359</v>
      </c>
      <c r="C61" s="15">
        <f t="shared" si="0"/>
        <v>120.61459550131151</v>
      </c>
      <c r="D61" s="15"/>
      <c r="E61" s="15"/>
      <c r="F61" s="15">
        <f t="shared" si="1"/>
        <v>502100.43402292492</v>
      </c>
      <c r="G61" s="11">
        <f t="shared" si="2"/>
        <v>2100.434022924921</v>
      </c>
    </row>
    <row r="62" spans="1:7" x14ac:dyDescent="0.25">
      <c r="A62" s="168">
        <v>45031</v>
      </c>
      <c r="B62" s="15">
        <f t="shared" si="3"/>
        <v>502100.43402292492</v>
      </c>
      <c r="C62" s="15">
        <f t="shared" si="0"/>
        <v>120.64357650828613</v>
      </c>
      <c r="D62" s="15"/>
      <c r="E62" s="15"/>
      <c r="F62" s="15">
        <f t="shared" si="1"/>
        <v>502221.07759943319</v>
      </c>
      <c r="G62" s="11">
        <f t="shared" si="2"/>
        <v>2221.0775994331925</v>
      </c>
    </row>
    <row r="63" spans="1:7" x14ac:dyDescent="0.25">
      <c r="A63" s="168">
        <v>45032</v>
      </c>
      <c r="B63" s="15">
        <f t="shared" si="3"/>
        <v>502221.07759943319</v>
      </c>
      <c r="C63" s="15">
        <f t="shared" si="0"/>
        <v>120.67256447875269</v>
      </c>
      <c r="D63" s="15"/>
      <c r="E63" s="15"/>
      <c r="F63" s="15">
        <f t="shared" si="1"/>
        <v>502341.75016391196</v>
      </c>
      <c r="G63" s="11">
        <f t="shared" si="2"/>
        <v>2341.7501639119582</v>
      </c>
    </row>
    <row r="64" spans="1:7" x14ac:dyDescent="0.25">
      <c r="A64" s="168">
        <v>45033</v>
      </c>
      <c r="B64" s="15">
        <f t="shared" si="3"/>
        <v>502341.75016391196</v>
      </c>
      <c r="C64" s="15">
        <f t="shared" si="0"/>
        <v>120.70155941438439</v>
      </c>
      <c r="D64" s="15"/>
      <c r="E64" s="15"/>
      <c r="F64" s="15">
        <f t="shared" si="1"/>
        <v>502462.45172332635</v>
      </c>
      <c r="G64" s="11">
        <f t="shared" si="2"/>
        <v>2462.4517233263468</v>
      </c>
    </row>
    <row r="65" spans="1:7" x14ac:dyDescent="0.25">
      <c r="A65" s="168">
        <v>45034</v>
      </c>
      <c r="B65" s="15">
        <f t="shared" si="3"/>
        <v>502462.45172332635</v>
      </c>
      <c r="C65" s="15">
        <f t="shared" si="0"/>
        <v>120.73056131685482</v>
      </c>
      <c r="D65" s="15"/>
      <c r="E65" s="15"/>
      <c r="F65" s="15">
        <f t="shared" si="1"/>
        <v>502583.18228464318</v>
      </c>
      <c r="G65" s="11">
        <f t="shared" si="2"/>
        <v>2583.1822846431751</v>
      </c>
    </row>
    <row r="66" spans="1:7" x14ac:dyDescent="0.25">
      <c r="A66" s="168">
        <v>45035</v>
      </c>
      <c r="B66" s="15">
        <f t="shared" si="3"/>
        <v>502583.18228464318</v>
      </c>
      <c r="C66" s="15">
        <f t="shared" si="0"/>
        <v>120.75957018783787</v>
      </c>
      <c r="D66" s="15"/>
      <c r="E66" s="15"/>
      <c r="F66" s="15">
        <f t="shared" si="1"/>
        <v>502703.94185483101</v>
      </c>
      <c r="G66" s="11">
        <f t="shared" si="2"/>
        <v>2703.9418548310059</v>
      </c>
    </row>
    <row r="67" spans="1:7" x14ac:dyDescent="0.25">
      <c r="A67" s="168">
        <v>45036</v>
      </c>
      <c r="B67" s="15">
        <f t="shared" si="3"/>
        <v>502703.94185483101</v>
      </c>
      <c r="C67" s="15">
        <f t="shared" si="0"/>
        <v>120.788586029008</v>
      </c>
      <c r="D67" s="15"/>
      <c r="E67" s="15"/>
      <c r="F67" s="15">
        <f t="shared" si="1"/>
        <v>502824.73044086003</v>
      </c>
      <c r="G67" s="11">
        <f t="shared" si="2"/>
        <v>2824.7304408600321</v>
      </c>
    </row>
    <row r="68" spans="1:7" x14ac:dyDescent="0.25">
      <c r="A68" s="168">
        <v>45037</v>
      </c>
      <c r="B68" s="15">
        <f t="shared" si="3"/>
        <v>502824.73044086003</v>
      </c>
      <c r="C68" s="15">
        <f t="shared" ref="C68:C131" si="4">B68*$C$1/36000</f>
        <v>120.81760884203997</v>
      </c>
      <c r="D68" s="15"/>
      <c r="E68" s="15"/>
      <c r="F68" s="15">
        <f t="shared" ref="F68:F131" si="5">B68+C68+D68+E68</f>
        <v>502945.54804970208</v>
      </c>
      <c r="G68" s="11">
        <f t="shared" ref="G68:G131" si="6">F68-$B$3</f>
        <v>2945.5480497020762</v>
      </c>
    </row>
    <row r="69" spans="1:7" x14ac:dyDescent="0.25">
      <c r="A69" s="168">
        <v>45038</v>
      </c>
      <c r="B69" s="15">
        <f t="shared" ref="B69:B132" si="7">F68</f>
        <v>502945.54804970208</v>
      </c>
      <c r="C69" s="15">
        <f t="shared" si="4"/>
        <v>120.84663862860899</v>
      </c>
      <c r="D69" s="15"/>
      <c r="E69" s="15"/>
      <c r="F69" s="15">
        <f t="shared" si="5"/>
        <v>503066.39468833071</v>
      </c>
      <c r="G69" s="11">
        <f t="shared" si="6"/>
        <v>3066.3946883307071</v>
      </c>
    </row>
    <row r="70" spans="1:7" x14ac:dyDescent="0.25">
      <c r="A70" s="168">
        <v>45039</v>
      </c>
      <c r="B70" s="15">
        <f t="shared" si="7"/>
        <v>503066.39468833071</v>
      </c>
      <c r="C70" s="15">
        <f t="shared" si="4"/>
        <v>120.87567539039057</v>
      </c>
      <c r="D70" s="15"/>
      <c r="E70" s="15"/>
      <c r="F70" s="15">
        <f t="shared" si="5"/>
        <v>503187.27036372112</v>
      </c>
      <c r="G70" s="11">
        <f t="shared" si="6"/>
        <v>3187.2703637211234</v>
      </c>
    </row>
    <row r="71" spans="1:7" x14ac:dyDescent="0.25">
      <c r="A71" s="168">
        <v>45040</v>
      </c>
      <c r="B71" s="15">
        <f t="shared" si="7"/>
        <v>503187.27036372112</v>
      </c>
      <c r="C71" s="15">
        <f t="shared" si="4"/>
        <v>120.90471912906078</v>
      </c>
      <c r="D71" s="15"/>
      <c r="E71" s="15"/>
      <c r="F71" s="15">
        <f t="shared" si="5"/>
        <v>503308.17508285021</v>
      </c>
      <c r="G71" s="11">
        <f t="shared" si="6"/>
        <v>3308.1750828502118</v>
      </c>
    </row>
    <row r="72" spans="1:7" x14ac:dyDescent="0.25">
      <c r="A72" s="168">
        <v>45041</v>
      </c>
      <c r="B72" s="15">
        <f t="shared" si="7"/>
        <v>503308.17508285021</v>
      </c>
      <c r="C72" s="15">
        <f t="shared" si="4"/>
        <v>120.93376984629596</v>
      </c>
      <c r="D72" s="15"/>
      <c r="E72" s="15"/>
      <c r="F72" s="15">
        <f t="shared" si="5"/>
        <v>503429.10885269649</v>
      </c>
      <c r="G72" s="11">
        <f t="shared" si="6"/>
        <v>3429.1088526964886</v>
      </c>
    </row>
    <row r="73" spans="1:7" x14ac:dyDescent="0.25">
      <c r="A73" s="168">
        <v>45042</v>
      </c>
      <c r="B73" s="15">
        <f t="shared" si="7"/>
        <v>503429.10885269649</v>
      </c>
      <c r="C73" s="15">
        <f t="shared" si="4"/>
        <v>120.96282754377292</v>
      </c>
      <c r="D73" s="15"/>
      <c r="E73" s="15"/>
      <c r="F73" s="15">
        <f t="shared" si="5"/>
        <v>503550.07168024027</v>
      </c>
      <c r="G73" s="11">
        <f t="shared" si="6"/>
        <v>3550.0716802402749</v>
      </c>
    </row>
    <row r="74" spans="1:7" x14ac:dyDescent="0.25">
      <c r="A74" s="168">
        <v>45043</v>
      </c>
      <c r="B74" s="15">
        <f t="shared" si="7"/>
        <v>503550.07168024027</v>
      </c>
      <c r="C74" s="15">
        <f t="shared" si="4"/>
        <v>120.99189222316883</v>
      </c>
      <c r="D74" s="15"/>
      <c r="E74" s="15"/>
      <c r="F74" s="15">
        <f t="shared" si="5"/>
        <v>503671.06357246346</v>
      </c>
      <c r="G74" s="11">
        <f t="shared" si="6"/>
        <v>3671.0635724634631</v>
      </c>
    </row>
    <row r="75" spans="1:7" x14ac:dyDescent="0.25">
      <c r="A75" s="168">
        <v>45044</v>
      </c>
      <c r="B75" s="15">
        <f t="shared" si="7"/>
        <v>503671.06357246346</v>
      </c>
      <c r="C75" s="15">
        <f t="shared" si="4"/>
        <v>121.02096388616135</v>
      </c>
      <c r="D75" s="15"/>
      <c r="E75" s="15"/>
      <c r="F75" s="15">
        <f t="shared" si="5"/>
        <v>503792.08453634963</v>
      </c>
      <c r="G75" s="11">
        <f t="shared" si="6"/>
        <v>3792.0845363496337</v>
      </c>
    </row>
    <row r="76" spans="1:7" x14ac:dyDescent="0.25">
      <c r="A76" s="168">
        <v>45045</v>
      </c>
      <c r="B76" s="15">
        <f t="shared" si="7"/>
        <v>503792.08453634963</v>
      </c>
      <c r="C76" s="15">
        <f t="shared" si="4"/>
        <v>121.05004253442847</v>
      </c>
      <c r="D76" s="15"/>
      <c r="E76" s="15"/>
      <c r="F76" s="15">
        <f t="shared" si="5"/>
        <v>503913.13457888406</v>
      </c>
      <c r="G76" s="11">
        <f t="shared" si="6"/>
        <v>3913.1345788840554</v>
      </c>
    </row>
    <row r="77" spans="1:7" x14ac:dyDescent="0.25">
      <c r="A77" s="168">
        <v>45046</v>
      </c>
      <c r="B77" s="15">
        <f t="shared" si="7"/>
        <v>503913.13457888406</v>
      </c>
      <c r="C77" s="15">
        <f t="shared" si="4"/>
        <v>121.07912816964853</v>
      </c>
      <c r="D77" s="15"/>
      <c r="E77" s="15"/>
      <c r="F77" s="15">
        <f t="shared" si="5"/>
        <v>504034.21370705368</v>
      </c>
      <c r="G77" s="11">
        <f t="shared" si="6"/>
        <v>4034.2137070536846</v>
      </c>
    </row>
    <row r="78" spans="1:7" x14ac:dyDescent="0.25">
      <c r="A78" s="168">
        <v>45047</v>
      </c>
      <c r="B78" s="15">
        <f t="shared" si="7"/>
        <v>504034.21370705368</v>
      </c>
      <c r="C78" s="15">
        <f t="shared" si="4"/>
        <v>121.10822079350041</v>
      </c>
      <c r="D78" s="15"/>
      <c r="E78" s="15"/>
      <c r="F78" s="15">
        <f t="shared" si="5"/>
        <v>504155.32192784717</v>
      </c>
      <c r="G78" s="11">
        <f t="shared" si="6"/>
        <v>4155.3219278471661</v>
      </c>
    </row>
    <row r="79" spans="1:7" x14ac:dyDescent="0.25">
      <c r="A79" s="168">
        <v>45048</v>
      </c>
      <c r="B79" s="15">
        <f t="shared" si="7"/>
        <v>504155.32192784717</v>
      </c>
      <c r="C79" s="15">
        <f t="shared" si="4"/>
        <v>121.1373204076633</v>
      </c>
      <c r="D79" s="15"/>
      <c r="E79" s="15"/>
      <c r="F79" s="15">
        <f t="shared" si="5"/>
        <v>504276.45924825483</v>
      </c>
      <c r="G79" s="11">
        <f t="shared" si="6"/>
        <v>4276.4592482548323</v>
      </c>
    </row>
    <row r="80" spans="1:7" x14ac:dyDescent="0.25">
      <c r="A80" s="168">
        <v>45049</v>
      </c>
      <c r="B80" s="15">
        <f t="shared" si="7"/>
        <v>504276.45924825483</v>
      </c>
      <c r="C80" s="15">
        <f t="shared" si="4"/>
        <v>121.1664270138168</v>
      </c>
      <c r="D80" s="15"/>
      <c r="E80" s="15"/>
      <c r="F80" s="15">
        <f t="shared" si="5"/>
        <v>504397.62567526865</v>
      </c>
      <c r="G80" s="11">
        <f t="shared" si="6"/>
        <v>4397.6256752686459</v>
      </c>
    </row>
    <row r="81" spans="1:7" x14ac:dyDescent="0.25">
      <c r="A81" s="168">
        <v>45050</v>
      </c>
      <c r="B81" s="15">
        <f t="shared" si="7"/>
        <v>504397.62567526865</v>
      </c>
      <c r="C81" s="15">
        <f t="shared" si="4"/>
        <v>121.19554061364096</v>
      </c>
      <c r="D81" s="15"/>
      <c r="E81" s="15"/>
      <c r="F81" s="15">
        <f t="shared" si="5"/>
        <v>504518.82121588232</v>
      </c>
      <c r="G81" s="11">
        <f t="shared" si="6"/>
        <v>4518.8212158823153</v>
      </c>
    </row>
    <row r="82" spans="1:7" x14ac:dyDescent="0.25">
      <c r="A82" s="168">
        <v>45051</v>
      </c>
      <c r="B82" s="15">
        <f t="shared" si="7"/>
        <v>504518.82121588232</v>
      </c>
      <c r="C82" s="15">
        <f t="shared" si="4"/>
        <v>121.22466120881619</v>
      </c>
      <c r="D82" s="15"/>
      <c r="E82" s="15"/>
      <c r="F82" s="15">
        <f t="shared" si="5"/>
        <v>504640.04587709112</v>
      </c>
      <c r="G82" s="11">
        <f t="shared" si="6"/>
        <v>4640.0458770911209</v>
      </c>
    </row>
    <row r="83" spans="1:7" x14ac:dyDescent="0.25">
      <c r="A83" s="168">
        <v>45052</v>
      </c>
      <c r="B83" s="15">
        <f t="shared" si="7"/>
        <v>504640.04587709112</v>
      </c>
      <c r="C83" s="15">
        <f t="shared" si="4"/>
        <v>121.25378880102329</v>
      </c>
      <c r="D83" s="15"/>
      <c r="E83" s="15"/>
      <c r="F83" s="15">
        <f t="shared" si="5"/>
        <v>504761.29966589215</v>
      </c>
      <c r="G83" s="11">
        <f t="shared" si="6"/>
        <v>4761.2996658921475</v>
      </c>
    </row>
    <row r="84" spans="1:7" x14ac:dyDescent="0.25">
      <c r="A84" s="168">
        <v>45053</v>
      </c>
      <c r="B84" s="15">
        <f t="shared" si="7"/>
        <v>504761.29966589215</v>
      </c>
      <c r="C84" s="15">
        <f t="shared" si="4"/>
        <v>121.28292339194354</v>
      </c>
      <c r="D84" s="15"/>
      <c r="E84" s="15"/>
      <c r="F84" s="15">
        <f t="shared" si="5"/>
        <v>504882.58258928411</v>
      </c>
      <c r="G84" s="11">
        <f t="shared" si="6"/>
        <v>4882.5825892841094</v>
      </c>
    </row>
    <row r="85" spans="1:7" x14ac:dyDescent="0.25">
      <c r="A85" s="168">
        <v>45054</v>
      </c>
      <c r="B85" s="15">
        <f t="shared" si="7"/>
        <v>504882.58258928411</v>
      </c>
      <c r="C85" s="15">
        <f t="shared" si="4"/>
        <v>121.31206498325854</v>
      </c>
      <c r="D85" s="15"/>
      <c r="E85" s="15"/>
      <c r="F85" s="15">
        <f t="shared" si="5"/>
        <v>505003.89465426735</v>
      </c>
      <c r="G85" s="11">
        <f t="shared" si="6"/>
        <v>5003.8946542673511</v>
      </c>
    </row>
    <row r="86" spans="1:7" x14ac:dyDescent="0.25">
      <c r="A86" s="168">
        <v>45055</v>
      </c>
      <c r="B86" s="15">
        <f t="shared" si="7"/>
        <v>505003.89465426735</v>
      </c>
      <c r="C86" s="15">
        <f t="shared" si="4"/>
        <v>121.34121357665035</v>
      </c>
      <c r="D86" s="15"/>
      <c r="E86" s="15"/>
      <c r="F86" s="15">
        <f t="shared" si="5"/>
        <v>505125.23586784402</v>
      </c>
      <c r="G86" s="11">
        <f t="shared" si="6"/>
        <v>5125.2358678440214</v>
      </c>
    </row>
    <row r="87" spans="1:7" x14ac:dyDescent="0.25">
      <c r="A87" s="168">
        <v>45056</v>
      </c>
      <c r="B87" s="15">
        <f t="shared" si="7"/>
        <v>505125.23586784402</v>
      </c>
      <c r="C87" s="15">
        <f t="shared" si="4"/>
        <v>121.37036917380142</v>
      </c>
      <c r="D87" s="15"/>
      <c r="E87" s="15"/>
      <c r="F87" s="15">
        <f t="shared" si="5"/>
        <v>505246.60623701784</v>
      </c>
      <c r="G87" s="11">
        <f t="shared" si="6"/>
        <v>5246.6062370178406</v>
      </c>
    </row>
    <row r="88" spans="1:7" x14ac:dyDescent="0.25">
      <c r="A88" s="168">
        <v>45057</v>
      </c>
      <c r="B88" s="15">
        <f t="shared" si="7"/>
        <v>505246.60623701784</v>
      </c>
      <c r="C88" s="15">
        <f t="shared" si="4"/>
        <v>121.39953177639457</v>
      </c>
      <c r="D88" s="15"/>
      <c r="E88" s="15"/>
      <c r="F88" s="15">
        <f t="shared" si="5"/>
        <v>505368.00576879422</v>
      </c>
      <c r="G88" s="11">
        <f t="shared" si="6"/>
        <v>5368.0057687942171</v>
      </c>
    </row>
    <row r="89" spans="1:7" x14ac:dyDescent="0.25">
      <c r="A89" s="168">
        <v>45058</v>
      </c>
      <c r="B89" s="15">
        <f t="shared" si="7"/>
        <v>505368.00576879422</v>
      </c>
      <c r="C89" s="15">
        <f t="shared" si="4"/>
        <v>121.42870138611306</v>
      </c>
      <c r="D89" s="15"/>
      <c r="E89" s="15"/>
      <c r="F89" s="15">
        <f t="shared" si="5"/>
        <v>505489.43447018031</v>
      </c>
      <c r="G89" s="11">
        <f t="shared" si="6"/>
        <v>5489.4344701803057</v>
      </c>
    </row>
    <row r="90" spans="1:7" x14ac:dyDescent="0.25">
      <c r="A90" s="168">
        <v>45059</v>
      </c>
      <c r="B90" s="15">
        <f t="shared" si="7"/>
        <v>505489.43447018031</v>
      </c>
      <c r="C90" s="15">
        <f t="shared" si="4"/>
        <v>121.45787800464055</v>
      </c>
      <c r="D90" s="15"/>
      <c r="E90" s="15"/>
      <c r="F90" s="15">
        <f t="shared" si="5"/>
        <v>505610.89234818495</v>
      </c>
      <c r="G90" s="11">
        <f t="shared" si="6"/>
        <v>5610.8923481849488</v>
      </c>
    </row>
    <row r="91" spans="1:7" x14ac:dyDescent="0.25">
      <c r="A91" s="168">
        <v>45060</v>
      </c>
      <c r="B91" s="15">
        <f t="shared" si="7"/>
        <v>505610.89234818495</v>
      </c>
      <c r="C91" s="15">
        <f t="shared" si="4"/>
        <v>121.4870616336611</v>
      </c>
      <c r="D91" s="15"/>
      <c r="E91" s="15"/>
      <c r="F91" s="15">
        <f t="shared" si="5"/>
        <v>505732.37940981862</v>
      </c>
      <c r="G91" s="11">
        <f t="shared" si="6"/>
        <v>5732.379409818619</v>
      </c>
    </row>
    <row r="92" spans="1:7" x14ac:dyDescent="0.25">
      <c r="A92" s="168">
        <v>45061</v>
      </c>
      <c r="B92" s="15">
        <f t="shared" si="7"/>
        <v>505732.37940981862</v>
      </c>
      <c r="C92" s="15">
        <f t="shared" si="4"/>
        <v>121.5162522748592</v>
      </c>
      <c r="D92" s="15"/>
      <c r="E92" s="15"/>
      <c r="F92" s="15">
        <f t="shared" si="5"/>
        <v>505853.89566209348</v>
      </c>
      <c r="G92" s="11">
        <f t="shared" si="6"/>
        <v>5853.8956620934769</v>
      </c>
    </row>
    <row r="93" spans="1:7" x14ac:dyDescent="0.25">
      <c r="A93" s="168">
        <v>45062</v>
      </c>
      <c r="B93" s="15">
        <f t="shared" si="7"/>
        <v>505853.89566209348</v>
      </c>
      <c r="C93" s="15">
        <f t="shared" si="4"/>
        <v>121.54544992991968</v>
      </c>
      <c r="D93" s="15"/>
      <c r="E93" s="15"/>
      <c r="F93" s="15">
        <f t="shared" si="5"/>
        <v>505975.44111202337</v>
      </c>
      <c r="G93" s="11">
        <f t="shared" si="6"/>
        <v>5975.4411120233708</v>
      </c>
    </row>
    <row r="94" spans="1:7" x14ac:dyDescent="0.25">
      <c r="A94" s="168">
        <v>45063</v>
      </c>
      <c r="B94" s="15">
        <f t="shared" si="7"/>
        <v>505975.44111202337</v>
      </c>
      <c r="C94" s="15">
        <f t="shared" si="4"/>
        <v>121.57465460052784</v>
      </c>
      <c r="D94" s="15"/>
      <c r="E94" s="15"/>
      <c r="F94" s="15">
        <f t="shared" si="5"/>
        <v>506097.0157666239</v>
      </c>
      <c r="G94" s="11">
        <f t="shared" si="6"/>
        <v>6097.0157666238956</v>
      </c>
    </row>
    <row r="95" spans="1:7" x14ac:dyDescent="0.25">
      <c r="A95" s="168">
        <v>45064</v>
      </c>
      <c r="B95" s="15">
        <f t="shared" si="7"/>
        <v>506097.0157666239</v>
      </c>
      <c r="C95" s="15">
        <f t="shared" si="4"/>
        <v>121.60386628836936</v>
      </c>
      <c r="D95" s="15"/>
      <c r="E95" s="15"/>
      <c r="F95" s="15">
        <f t="shared" si="5"/>
        <v>506218.61963291228</v>
      </c>
      <c r="G95" s="11">
        <f t="shared" si="6"/>
        <v>6218.6196329122758</v>
      </c>
    </row>
    <row r="96" spans="1:7" x14ac:dyDescent="0.25">
      <c r="A96" s="168">
        <v>45065</v>
      </c>
      <c r="B96" s="15">
        <f t="shared" si="7"/>
        <v>506218.61963291228</v>
      </c>
      <c r="C96" s="15">
        <f t="shared" si="4"/>
        <v>121.6330849951303</v>
      </c>
      <c r="D96" s="15"/>
      <c r="E96" s="15"/>
      <c r="F96" s="15">
        <f t="shared" si="5"/>
        <v>506340.25271790742</v>
      </c>
      <c r="G96" s="11">
        <f t="shared" si="6"/>
        <v>6340.2527179074241</v>
      </c>
    </row>
    <row r="97" spans="1:7" x14ac:dyDescent="0.25">
      <c r="A97" s="168">
        <v>45066</v>
      </c>
      <c r="B97" s="15">
        <f t="shared" si="7"/>
        <v>506340.25271790742</v>
      </c>
      <c r="C97" s="15">
        <f t="shared" si="4"/>
        <v>121.66231072249721</v>
      </c>
      <c r="D97" s="15"/>
      <c r="E97" s="15"/>
      <c r="F97" s="15">
        <f t="shared" si="5"/>
        <v>506461.91502862994</v>
      </c>
      <c r="G97" s="11">
        <f t="shared" si="6"/>
        <v>6461.9150286299409</v>
      </c>
    </row>
    <row r="98" spans="1:7" x14ac:dyDescent="0.25">
      <c r="A98" s="168">
        <v>45067</v>
      </c>
      <c r="B98" s="15">
        <f t="shared" si="7"/>
        <v>506461.91502862994</v>
      </c>
      <c r="C98" s="15">
        <f t="shared" si="4"/>
        <v>121.69154347215691</v>
      </c>
      <c r="D98" s="15"/>
      <c r="E98" s="15"/>
      <c r="F98" s="15">
        <f t="shared" si="5"/>
        <v>506583.60657210212</v>
      </c>
      <c r="G98" s="11">
        <f t="shared" si="6"/>
        <v>6583.606572102115</v>
      </c>
    </row>
    <row r="99" spans="1:7" x14ac:dyDescent="0.25">
      <c r="A99" s="168">
        <v>45068</v>
      </c>
      <c r="B99" s="15">
        <f t="shared" si="7"/>
        <v>506583.60657210212</v>
      </c>
      <c r="C99" s="15">
        <f t="shared" si="4"/>
        <v>121.72078324579675</v>
      </c>
      <c r="D99" s="15"/>
      <c r="E99" s="15"/>
      <c r="F99" s="15">
        <f t="shared" si="5"/>
        <v>506705.32735534792</v>
      </c>
      <c r="G99" s="11">
        <f t="shared" si="6"/>
        <v>6705.327355347923</v>
      </c>
    </row>
    <row r="100" spans="1:7" x14ac:dyDescent="0.25">
      <c r="A100" s="168">
        <v>45069</v>
      </c>
      <c r="B100" s="15">
        <f t="shared" si="7"/>
        <v>506705.32735534792</v>
      </c>
      <c r="C100" s="15">
        <f t="shared" si="4"/>
        <v>121.75003004510445</v>
      </c>
      <c r="D100" s="15"/>
      <c r="E100" s="15"/>
      <c r="F100" s="15">
        <f t="shared" si="5"/>
        <v>506827.07738539303</v>
      </c>
      <c r="G100" s="11">
        <f t="shared" si="6"/>
        <v>6827.0773853930295</v>
      </c>
    </row>
    <row r="101" spans="1:7" x14ac:dyDescent="0.25">
      <c r="A101" s="168">
        <v>45070</v>
      </c>
      <c r="B101" s="15">
        <f t="shared" si="7"/>
        <v>506827.07738539303</v>
      </c>
      <c r="C101" s="15">
        <f t="shared" si="4"/>
        <v>121.77928387176804</v>
      </c>
      <c r="D101" s="15"/>
      <c r="E101" s="15"/>
      <c r="F101" s="15">
        <f t="shared" si="5"/>
        <v>506948.85666926479</v>
      </c>
      <c r="G101" s="11">
        <f t="shared" si="6"/>
        <v>6948.8566692647873</v>
      </c>
    </row>
    <row r="102" spans="1:7" x14ac:dyDescent="0.25">
      <c r="A102" s="168">
        <v>45071</v>
      </c>
      <c r="B102" s="15">
        <f t="shared" si="7"/>
        <v>506948.85666926479</v>
      </c>
      <c r="C102" s="15">
        <f t="shared" si="4"/>
        <v>121.80854472747613</v>
      </c>
      <c r="D102" s="15"/>
      <c r="E102" s="15"/>
      <c r="F102" s="15">
        <f t="shared" si="5"/>
        <v>507070.66521399224</v>
      </c>
      <c r="G102" s="11">
        <f t="shared" si="6"/>
        <v>7070.6652139922371</v>
      </c>
    </row>
    <row r="103" spans="1:7" x14ac:dyDescent="0.25">
      <c r="A103" s="168">
        <v>45072</v>
      </c>
      <c r="B103" s="15">
        <f t="shared" si="7"/>
        <v>507070.66521399224</v>
      </c>
      <c r="C103" s="15">
        <f t="shared" si="4"/>
        <v>121.83781261391759</v>
      </c>
      <c r="D103" s="15"/>
      <c r="E103" s="15"/>
      <c r="F103" s="15">
        <f t="shared" si="5"/>
        <v>507192.50302660617</v>
      </c>
      <c r="G103" s="11">
        <f t="shared" si="6"/>
        <v>7192.5030266061658</v>
      </c>
    </row>
    <row r="104" spans="1:7" x14ac:dyDescent="0.25">
      <c r="A104" s="168">
        <v>45073</v>
      </c>
      <c r="B104" s="15">
        <f t="shared" si="7"/>
        <v>507192.50302660617</v>
      </c>
      <c r="C104" s="15">
        <f t="shared" si="4"/>
        <v>121.86708753278177</v>
      </c>
      <c r="D104" s="15"/>
      <c r="E104" s="15"/>
      <c r="F104" s="15">
        <f t="shared" si="5"/>
        <v>507314.37011413893</v>
      </c>
      <c r="G104" s="11">
        <f t="shared" si="6"/>
        <v>7314.370114138932</v>
      </c>
    </row>
    <row r="105" spans="1:7" x14ac:dyDescent="0.25">
      <c r="A105" s="168">
        <v>45074</v>
      </c>
      <c r="B105" s="15">
        <f t="shared" si="7"/>
        <v>507314.37011413893</v>
      </c>
      <c r="C105" s="15">
        <f t="shared" si="4"/>
        <v>121.8963694857584</v>
      </c>
      <c r="D105" s="15"/>
      <c r="E105" s="15"/>
      <c r="F105" s="15">
        <f t="shared" si="5"/>
        <v>507436.2664836247</v>
      </c>
      <c r="G105" s="11">
        <f t="shared" si="6"/>
        <v>7436.2664836246986</v>
      </c>
    </row>
    <row r="106" spans="1:7" x14ac:dyDescent="0.25">
      <c r="A106" s="168">
        <v>45075</v>
      </c>
      <c r="B106" s="15">
        <f t="shared" si="7"/>
        <v>507436.2664836247</v>
      </c>
      <c r="C106" s="15">
        <f t="shared" si="4"/>
        <v>121.9256584745376</v>
      </c>
      <c r="D106" s="15"/>
      <c r="E106" s="15"/>
      <c r="F106" s="15">
        <f t="shared" si="5"/>
        <v>507558.19214209926</v>
      </c>
      <c r="G106" s="11">
        <f t="shared" si="6"/>
        <v>7558.1921420992585</v>
      </c>
    </row>
    <row r="107" spans="1:7" x14ac:dyDescent="0.25">
      <c r="A107" s="168">
        <v>45076</v>
      </c>
      <c r="B107" s="15">
        <f t="shared" si="7"/>
        <v>507558.19214209926</v>
      </c>
      <c r="C107" s="15">
        <f t="shared" si="4"/>
        <v>121.95495450080996</v>
      </c>
      <c r="D107" s="15"/>
      <c r="E107" s="15"/>
      <c r="F107" s="15">
        <f t="shared" si="5"/>
        <v>507680.14709660009</v>
      </c>
      <c r="G107" s="11">
        <f t="shared" si="6"/>
        <v>7680.1470966000925</v>
      </c>
    </row>
    <row r="108" spans="1:7" x14ac:dyDescent="0.25">
      <c r="A108" s="168">
        <v>45077</v>
      </c>
      <c r="B108" s="15">
        <f t="shared" si="7"/>
        <v>507680.14709660009</v>
      </c>
      <c r="C108" s="15">
        <f t="shared" si="4"/>
        <v>121.98425756626641</v>
      </c>
      <c r="D108" s="15"/>
      <c r="E108" s="15"/>
      <c r="F108" s="15">
        <f t="shared" si="5"/>
        <v>507802.13135416637</v>
      </c>
      <c r="G108" s="11">
        <f t="shared" si="6"/>
        <v>7802.1313541663694</v>
      </c>
    </row>
    <row r="109" spans="1:7" x14ac:dyDescent="0.25">
      <c r="A109" s="168">
        <v>45078</v>
      </c>
      <c r="B109" s="15">
        <f t="shared" si="7"/>
        <v>507802.13135416637</v>
      </c>
      <c r="C109" s="15">
        <f t="shared" si="4"/>
        <v>122.0135676725983</v>
      </c>
      <c r="D109" s="15"/>
      <c r="E109" s="15"/>
      <c r="F109" s="15">
        <f t="shared" si="5"/>
        <v>507924.14492183895</v>
      </c>
      <c r="G109" s="11">
        <f t="shared" si="6"/>
        <v>7924.1449218389462</v>
      </c>
    </row>
    <row r="110" spans="1:7" x14ac:dyDescent="0.25">
      <c r="A110" s="168">
        <v>45079</v>
      </c>
      <c r="B110" s="15">
        <f t="shared" si="7"/>
        <v>507924.14492183895</v>
      </c>
      <c r="C110" s="15">
        <f t="shared" si="4"/>
        <v>122.04288482149742</v>
      </c>
      <c r="D110" s="15"/>
      <c r="E110" s="15"/>
      <c r="F110" s="15">
        <f t="shared" si="5"/>
        <v>508046.18780666043</v>
      </c>
      <c r="G110" s="11">
        <f t="shared" si="6"/>
        <v>8046.1878066604258</v>
      </c>
    </row>
    <row r="111" spans="1:7" x14ac:dyDescent="0.25">
      <c r="A111" s="168">
        <v>45080</v>
      </c>
      <c r="B111" s="15">
        <f t="shared" si="7"/>
        <v>508046.18780666043</v>
      </c>
      <c r="C111" s="15">
        <f t="shared" si="4"/>
        <v>122.07220901465593</v>
      </c>
      <c r="D111" s="15"/>
      <c r="E111" s="15"/>
      <c r="F111" s="15">
        <f t="shared" si="5"/>
        <v>508168.2600156751</v>
      </c>
      <c r="G111" s="11">
        <f t="shared" si="6"/>
        <v>8168.2600156750996</v>
      </c>
    </row>
    <row r="112" spans="1:7" x14ac:dyDescent="0.25">
      <c r="A112" s="168">
        <v>45081</v>
      </c>
      <c r="B112" s="15">
        <f t="shared" si="7"/>
        <v>508168.2600156751</v>
      </c>
      <c r="C112" s="15">
        <f t="shared" si="4"/>
        <v>122.10154025376637</v>
      </c>
      <c r="D112" s="15"/>
      <c r="E112" s="15"/>
      <c r="F112" s="15">
        <f t="shared" si="5"/>
        <v>508290.36155592889</v>
      </c>
      <c r="G112" s="11">
        <f t="shared" si="6"/>
        <v>8290.3615559288883</v>
      </c>
    </row>
    <row r="113" spans="1:7" x14ac:dyDescent="0.25">
      <c r="A113" s="168">
        <v>45082</v>
      </c>
      <c r="B113" s="15">
        <f t="shared" si="7"/>
        <v>508290.36155592889</v>
      </c>
      <c r="C113" s="15">
        <f t="shared" si="4"/>
        <v>122.13087854052179</v>
      </c>
      <c r="D113" s="15"/>
      <c r="E113" s="15"/>
      <c r="F113" s="15">
        <f t="shared" si="5"/>
        <v>508412.4924344694</v>
      </c>
      <c r="G113" s="11">
        <f t="shared" si="6"/>
        <v>8412.4924344694009</v>
      </c>
    </row>
    <row r="114" spans="1:7" x14ac:dyDescent="0.25">
      <c r="A114" s="168">
        <v>45083</v>
      </c>
      <c r="B114" s="15">
        <f t="shared" si="7"/>
        <v>508412.4924344694</v>
      </c>
      <c r="C114" s="15">
        <f t="shared" si="4"/>
        <v>122.16022387661558</v>
      </c>
      <c r="D114" s="15"/>
      <c r="E114" s="15"/>
      <c r="F114" s="15">
        <f t="shared" si="5"/>
        <v>508534.65265834599</v>
      </c>
      <c r="G114" s="11">
        <f t="shared" si="6"/>
        <v>8534.6526583459927</v>
      </c>
    </row>
    <row r="115" spans="1:7" x14ac:dyDescent="0.25">
      <c r="A115" s="168">
        <v>45084</v>
      </c>
      <c r="B115" s="15">
        <f t="shared" si="7"/>
        <v>508534.65265834599</v>
      </c>
      <c r="C115" s="15">
        <f t="shared" si="4"/>
        <v>122.18957626374146</v>
      </c>
      <c r="D115" s="15"/>
      <c r="E115" s="15"/>
      <c r="F115" s="15">
        <f t="shared" si="5"/>
        <v>508656.84223460971</v>
      </c>
      <c r="G115" s="11">
        <f t="shared" si="6"/>
        <v>8656.8422346097068</v>
      </c>
    </row>
    <row r="116" spans="1:7" x14ac:dyDescent="0.25">
      <c r="A116" s="168">
        <v>45085</v>
      </c>
      <c r="B116" s="15">
        <f t="shared" si="7"/>
        <v>508656.84223460971</v>
      </c>
      <c r="C116" s="15">
        <f t="shared" si="4"/>
        <v>122.21893570359371</v>
      </c>
      <c r="D116" s="15"/>
      <c r="E116" s="15"/>
      <c r="F116" s="15">
        <f t="shared" si="5"/>
        <v>508779.06117031327</v>
      </c>
      <c r="G116" s="11">
        <f t="shared" si="6"/>
        <v>8779.0611703132745</v>
      </c>
    </row>
    <row r="117" spans="1:7" x14ac:dyDescent="0.25">
      <c r="A117" s="168">
        <v>45086</v>
      </c>
      <c r="B117" s="15">
        <f t="shared" si="7"/>
        <v>508779.06117031327</v>
      </c>
      <c r="C117" s="15">
        <f t="shared" si="4"/>
        <v>122.24830219786695</v>
      </c>
      <c r="D117" s="15"/>
      <c r="E117" s="15"/>
      <c r="F117" s="15">
        <f t="shared" si="5"/>
        <v>508901.30947251112</v>
      </c>
      <c r="G117" s="11">
        <f t="shared" si="6"/>
        <v>8901.309472511115</v>
      </c>
    </row>
    <row r="118" spans="1:7" x14ac:dyDescent="0.25">
      <c r="A118" s="168">
        <v>45087</v>
      </c>
      <c r="B118" s="15">
        <f t="shared" si="7"/>
        <v>508901.30947251112</v>
      </c>
      <c r="C118" s="15">
        <f t="shared" si="4"/>
        <v>122.27767574825614</v>
      </c>
      <c r="D118" s="15"/>
      <c r="E118" s="15"/>
      <c r="F118" s="15">
        <f t="shared" si="5"/>
        <v>509023.58714825939</v>
      </c>
      <c r="G118" s="11">
        <f t="shared" si="6"/>
        <v>9023.5871482593939</v>
      </c>
    </row>
    <row r="119" spans="1:7" x14ac:dyDescent="0.25">
      <c r="A119" s="168">
        <v>45088</v>
      </c>
      <c r="B119" s="15">
        <f t="shared" si="7"/>
        <v>509023.58714825939</v>
      </c>
      <c r="C119" s="15">
        <f t="shared" si="4"/>
        <v>122.30705635645678</v>
      </c>
      <c r="D119" s="15"/>
      <c r="E119" s="15"/>
      <c r="F119" s="15">
        <f t="shared" si="5"/>
        <v>509145.89420461585</v>
      </c>
      <c r="G119" s="11">
        <f t="shared" si="6"/>
        <v>9145.8942046158481</v>
      </c>
    </row>
    <row r="120" spans="1:7" x14ac:dyDescent="0.25">
      <c r="A120" s="168">
        <v>45089</v>
      </c>
      <c r="B120" s="15">
        <f t="shared" si="7"/>
        <v>509145.89420461585</v>
      </c>
      <c r="C120" s="15">
        <f t="shared" si="4"/>
        <v>122.33644402416465</v>
      </c>
      <c r="D120" s="15"/>
      <c r="E120" s="15"/>
      <c r="F120" s="15">
        <f t="shared" si="5"/>
        <v>509268.23064864002</v>
      </c>
      <c r="G120" s="11">
        <f t="shared" si="6"/>
        <v>9268.2306486400194</v>
      </c>
    </row>
    <row r="121" spans="1:7" x14ac:dyDescent="0.25">
      <c r="A121" s="168">
        <v>45090</v>
      </c>
      <c r="B121" s="15">
        <f t="shared" si="7"/>
        <v>509268.23064864002</v>
      </c>
      <c r="C121" s="15">
        <f t="shared" si="4"/>
        <v>122.36583875307601</v>
      </c>
      <c r="D121" s="15"/>
      <c r="E121" s="15"/>
      <c r="F121" s="15">
        <f t="shared" si="5"/>
        <v>509390.59648739308</v>
      </c>
      <c r="G121" s="11">
        <f t="shared" si="6"/>
        <v>9390.5964873930789</v>
      </c>
    </row>
    <row r="122" spans="1:7" x14ac:dyDescent="0.25">
      <c r="A122" s="168">
        <v>45091</v>
      </c>
      <c r="B122" s="15">
        <f t="shared" si="7"/>
        <v>509390.59648739308</v>
      </c>
      <c r="C122" s="15">
        <f t="shared" si="4"/>
        <v>122.39524054488751</v>
      </c>
      <c r="D122" s="15"/>
      <c r="E122" s="15"/>
      <c r="F122" s="15">
        <f t="shared" si="5"/>
        <v>509512.99172793794</v>
      </c>
      <c r="G122" s="11">
        <f t="shared" si="6"/>
        <v>9512.9917279379442</v>
      </c>
    </row>
    <row r="123" spans="1:7" x14ac:dyDescent="0.25">
      <c r="A123" s="168">
        <v>45092</v>
      </c>
      <c r="B123" s="15">
        <f t="shared" si="7"/>
        <v>509512.99172793794</v>
      </c>
      <c r="C123" s="15">
        <f t="shared" si="4"/>
        <v>122.42464940129622</v>
      </c>
      <c r="D123" s="15"/>
      <c r="E123" s="15"/>
      <c r="F123" s="15">
        <f t="shared" si="5"/>
        <v>509635.41637733922</v>
      </c>
      <c r="G123" s="11">
        <f t="shared" si="6"/>
        <v>9635.4163773392211</v>
      </c>
    </row>
    <row r="124" spans="1:7" x14ac:dyDescent="0.25">
      <c r="A124" s="168">
        <v>45093</v>
      </c>
      <c r="B124" s="15">
        <f t="shared" si="7"/>
        <v>509635.41637733922</v>
      </c>
      <c r="C124" s="15">
        <f t="shared" si="4"/>
        <v>122.45406532399957</v>
      </c>
      <c r="D124" s="15"/>
      <c r="E124" s="15"/>
      <c r="F124" s="15">
        <f t="shared" si="5"/>
        <v>509757.8704426632</v>
      </c>
      <c r="G124" s="11">
        <f t="shared" si="6"/>
        <v>9757.870442663203</v>
      </c>
    </row>
    <row r="125" spans="1:7" x14ac:dyDescent="0.25">
      <c r="A125" s="168">
        <v>45094</v>
      </c>
      <c r="B125" s="15">
        <f t="shared" si="7"/>
        <v>509757.8704426632</v>
      </c>
      <c r="C125" s="15">
        <f t="shared" si="4"/>
        <v>122.48348831469548</v>
      </c>
      <c r="D125" s="15"/>
      <c r="E125" s="15"/>
      <c r="F125" s="15">
        <f t="shared" si="5"/>
        <v>509880.35393097787</v>
      </c>
      <c r="G125" s="11">
        <f t="shared" si="6"/>
        <v>9880.3539309778716</v>
      </c>
    </row>
    <row r="126" spans="1:7" x14ac:dyDescent="0.25">
      <c r="A126" s="168">
        <v>45095</v>
      </c>
      <c r="B126" s="15">
        <f t="shared" si="7"/>
        <v>509880.35393097787</v>
      </c>
      <c r="C126" s="15">
        <f t="shared" si="4"/>
        <v>122.51291837508218</v>
      </c>
      <c r="D126" s="15"/>
      <c r="E126" s="15"/>
      <c r="F126" s="15">
        <f t="shared" si="5"/>
        <v>510002.86684935295</v>
      </c>
      <c r="G126" s="11">
        <f t="shared" si="6"/>
        <v>10002.866849352955</v>
      </c>
    </row>
    <row r="127" spans="1:7" x14ac:dyDescent="0.25">
      <c r="A127" s="168">
        <v>45096</v>
      </c>
      <c r="B127" s="15">
        <f t="shared" si="7"/>
        <v>510002.86684935295</v>
      </c>
      <c r="C127" s="15">
        <f t="shared" si="4"/>
        <v>122.54235550685843</v>
      </c>
      <c r="D127" s="15"/>
      <c r="E127" s="15"/>
      <c r="F127" s="15">
        <f t="shared" si="5"/>
        <v>510125.40920485981</v>
      </c>
      <c r="G127" s="11">
        <f t="shared" si="6"/>
        <v>10125.40920485981</v>
      </c>
    </row>
    <row r="128" spans="1:7" x14ac:dyDescent="0.25">
      <c r="A128" s="168">
        <v>45097</v>
      </c>
      <c r="B128" s="15">
        <f t="shared" si="7"/>
        <v>510125.40920485981</v>
      </c>
      <c r="C128" s="15">
        <f t="shared" si="4"/>
        <v>122.57179971172327</v>
      </c>
      <c r="D128" s="15"/>
      <c r="E128" s="15"/>
      <c r="F128" s="15">
        <f t="shared" si="5"/>
        <v>510247.98100457154</v>
      </c>
      <c r="G128" s="11">
        <f t="shared" si="6"/>
        <v>10247.981004571542</v>
      </c>
    </row>
    <row r="129" spans="1:7" x14ac:dyDescent="0.25">
      <c r="A129" s="168">
        <v>45098</v>
      </c>
      <c r="B129" s="15">
        <f t="shared" si="7"/>
        <v>510247.98100457154</v>
      </c>
      <c r="C129" s="15">
        <f t="shared" si="4"/>
        <v>122.60125099137622</v>
      </c>
      <c r="D129" s="15"/>
      <c r="E129" s="15"/>
      <c r="F129" s="15">
        <f t="shared" si="5"/>
        <v>510370.58225556294</v>
      </c>
      <c r="G129" s="11">
        <f t="shared" si="6"/>
        <v>10370.582255562942</v>
      </c>
    </row>
    <row r="130" spans="1:7" x14ac:dyDescent="0.25">
      <c r="A130" s="168">
        <v>45099</v>
      </c>
      <c r="B130" s="15">
        <f t="shared" si="7"/>
        <v>510370.58225556294</v>
      </c>
      <c r="C130" s="15">
        <f t="shared" si="4"/>
        <v>122.6307093475172</v>
      </c>
      <c r="D130" s="15"/>
      <c r="E130" s="15"/>
      <c r="F130" s="15">
        <f t="shared" si="5"/>
        <v>510493.21296491043</v>
      </c>
      <c r="G130" s="11">
        <f t="shared" si="6"/>
        <v>10493.212964910432</v>
      </c>
    </row>
    <row r="131" spans="1:7" x14ac:dyDescent="0.25">
      <c r="A131" s="168">
        <v>45100</v>
      </c>
      <c r="B131" s="15">
        <f t="shared" si="7"/>
        <v>510493.21296491043</v>
      </c>
      <c r="C131" s="15">
        <f t="shared" si="4"/>
        <v>122.66017478184654</v>
      </c>
      <c r="D131" s="15"/>
      <c r="E131" s="15"/>
      <c r="F131" s="15">
        <f t="shared" si="5"/>
        <v>510615.8731396923</v>
      </c>
      <c r="G131" s="11">
        <f t="shared" si="6"/>
        <v>10615.873139692296</v>
      </c>
    </row>
    <row r="132" spans="1:7" x14ac:dyDescent="0.25">
      <c r="A132" s="168">
        <v>45101</v>
      </c>
      <c r="B132" s="15">
        <f t="shared" si="7"/>
        <v>510615.8731396923</v>
      </c>
      <c r="C132" s="15">
        <f t="shared" ref="C132:C169" si="8">B132*$C$1/36000</f>
        <v>122.68964729606495</v>
      </c>
      <c r="D132" s="15"/>
      <c r="E132" s="15"/>
      <c r="F132" s="15">
        <f t="shared" ref="F132:F169" si="9">B132+C132+D132+E132</f>
        <v>510738.56278698833</v>
      </c>
      <c r="G132" s="11">
        <f t="shared" ref="G132:G169" si="10">F132-$B$3</f>
        <v>10738.562786988332</v>
      </c>
    </row>
    <row r="133" spans="1:7" x14ac:dyDescent="0.25">
      <c r="A133" s="168">
        <v>45102</v>
      </c>
      <c r="B133" s="15">
        <f t="shared" ref="B133:B169" si="11">F132</f>
        <v>510738.56278698833</v>
      </c>
      <c r="C133" s="15">
        <f t="shared" si="8"/>
        <v>122.7191268918736</v>
      </c>
      <c r="D133" s="15"/>
      <c r="E133" s="15"/>
      <c r="F133" s="15">
        <f t="shared" si="9"/>
        <v>510861.2819138802</v>
      </c>
      <c r="G133" s="11">
        <f t="shared" si="10"/>
        <v>10861.281913880201</v>
      </c>
    </row>
    <row r="134" spans="1:7" x14ac:dyDescent="0.25">
      <c r="A134" s="168">
        <v>45103</v>
      </c>
      <c r="B134" s="15">
        <f t="shared" si="11"/>
        <v>510861.2819138802</v>
      </c>
      <c r="C134" s="15">
        <f t="shared" si="8"/>
        <v>122.748613570974</v>
      </c>
      <c r="D134" s="15"/>
      <c r="E134" s="15"/>
      <c r="F134" s="15">
        <f t="shared" si="9"/>
        <v>510984.03052745119</v>
      </c>
      <c r="G134" s="11">
        <f t="shared" si="10"/>
        <v>10984.030527451192</v>
      </c>
    </row>
    <row r="135" spans="1:7" x14ac:dyDescent="0.25">
      <c r="A135" s="168">
        <v>45104</v>
      </c>
      <c r="B135" s="15">
        <f t="shared" si="11"/>
        <v>510984.03052745119</v>
      </c>
      <c r="C135" s="15">
        <f t="shared" si="8"/>
        <v>122.77810733506813</v>
      </c>
      <c r="D135" s="15"/>
      <c r="E135" s="15"/>
      <c r="F135" s="15">
        <f t="shared" si="9"/>
        <v>511106.80863478628</v>
      </c>
      <c r="G135" s="11">
        <f t="shared" si="10"/>
        <v>11106.808634786285</v>
      </c>
    </row>
    <row r="136" spans="1:7" x14ac:dyDescent="0.25">
      <c r="A136" s="168">
        <v>45105</v>
      </c>
      <c r="B136" s="15">
        <f t="shared" si="11"/>
        <v>511106.80863478628</v>
      </c>
      <c r="C136" s="15">
        <f t="shared" si="8"/>
        <v>122.80760818585838</v>
      </c>
      <c r="D136" s="15"/>
      <c r="E136" s="15"/>
      <c r="F136" s="15">
        <f t="shared" si="9"/>
        <v>511229.61624297214</v>
      </c>
      <c r="G136" s="11">
        <f t="shared" si="10"/>
        <v>11229.616242972144</v>
      </c>
    </row>
    <row r="137" spans="1:7" x14ac:dyDescent="0.25">
      <c r="A137" s="168">
        <v>45106</v>
      </c>
      <c r="B137" s="15">
        <f t="shared" si="11"/>
        <v>511229.61624297214</v>
      </c>
      <c r="C137" s="15">
        <f t="shared" si="8"/>
        <v>122.83711612504749</v>
      </c>
      <c r="D137" s="15"/>
      <c r="E137" s="15"/>
      <c r="F137" s="15">
        <f t="shared" si="9"/>
        <v>511352.45335909718</v>
      </c>
      <c r="G137" s="11">
        <f t="shared" si="10"/>
        <v>11352.453359097184</v>
      </c>
    </row>
    <row r="138" spans="1:7" x14ac:dyDescent="0.25">
      <c r="A138" s="168">
        <v>45107</v>
      </c>
      <c r="B138" s="15">
        <f t="shared" si="11"/>
        <v>511352.45335909718</v>
      </c>
      <c r="C138" s="15">
        <f t="shared" si="8"/>
        <v>122.86663115433862</v>
      </c>
      <c r="D138" s="15"/>
      <c r="E138" s="15"/>
      <c r="F138" s="15">
        <f t="shared" si="9"/>
        <v>511475.3199902515</v>
      </c>
      <c r="G138" s="11">
        <f t="shared" si="10"/>
        <v>11475.319990251504</v>
      </c>
    </row>
    <row r="139" spans="1:7" x14ac:dyDescent="0.25">
      <c r="A139" s="168">
        <v>45108</v>
      </c>
      <c r="B139" s="15">
        <f t="shared" si="11"/>
        <v>511475.3199902515</v>
      </c>
      <c r="C139" s="15">
        <f t="shared" si="8"/>
        <v>122.89615327543542</v>
      </c>
      <c r="D139" s="15"/>
      <c r="E139" s="15"/>
      <c r="F139" s="15">
        <f t="shared" si="9"/>
        <v>511598.21614352695</v>
      </c>
      <c r="G139" s="11">
        <f t="shared" si="10"/>
        <v>11598.216143526952</v>
      </c>
    </row>
    <row r="140" spans="1:7" x14ac:dyDescent="0.25">
      <c r="A140" s="168">
        <v>45109</v>
      </c>
      <c r="B140" s="15">
        <f t="shared" si="11"/>
        <v>511598.21614352695</v>
      </c>
      <c r="C140" s="15">
        <f t="shared" si="8"/>
        <v>122.92568249004189</v>
      </c>
      <c r="D140" s="15"/>
      <c r="E140" s="15"/>
      <c r="F140" s="15">
        <f t="shared" si="9"/>
        <v>511721.141826017</v>
      </c>
      <c r="G140" s="11">
        <f t="shared" si="10"/>
        <v>11721.141826017003</v>
      </c>
    </row>
    <row r="141" spans="1:7" x14ac:dyDescent="0.25">
      <c r="A141" s="168">
        <v>45110</v>
      </c>
      <c r="B141" s="15">
        <f t="shared" si="11"/>
        <v>511721.141826017</v>
      </c>
      <c r="C141" s="15">
        <f t="shared" si="8"/>
        <v>122.95521879986242</v>
      </c>
      <c r="D141" s="15"/>
      <c r="E141" s="15"/>
      <c r="F141" s="15">
        <f t="shared" si="9"/>
        <v>511844.09704481688</v>
      </c>
      <c r="G141" s="11">
        <f t="shared" si="10"/>
        <v>11844.097044816881</v>
      </c>
    </row>
    <row r="142" spans="1:7" x14ac:dyDescent="0.25">
      <c r="A142" s="168">
        <v>45111</v>
      </c>
      <c r="B142" s="15">
        <f t="shared" si="11"/>
        <v>511844.09704481688</v>
      </c>
      <c r="C142" s="15">
        <f t="shared" si="8"/>
        <v>122.98476220660183</v>
      </c>
      <c r="D142" s="15"/>
      <c r="E142" s="15"/>
      <c r="F142" s="15">
        <f t="shared" si="9"/>
        <v>511967.0818070235</v>
      </c>
      <c r="G142" s="11">
        <f t="shared" si="10"/>
        <v>11967.081807023496</v>
      </c>
    </row>
    <row r="143" spans="1:7" x14ac:dyDescent="0.25">
      <c r="A143" s="168">
        <v>45112</v>
      </c>
      <c r="B143" s="15">
        <f t="shared" si="11"/>
        <v>511967.0818070235</v>
      </c>
      <c r="C143" s="15">
        <f t="shared" si="8"/>
        <v>123.01431271196537</v>
      </c>
      <c r="D143" s="15"/>
      <c r="E143" s="15"/>
      <c r="F143" s="15">
        <f t="shared" si="9"/>
        <v>512090.09611973545</v>
      </c>
      <c r="G143" s="11">
        <f t="shared" si="10"/>
        <v>12090.096119735448</v>
      </c>
    </row>
    <row r="144" spans="1:7" x14ac:dyDescent="0.25">
      <c r="A144" s="168">
        <v>45113</v>
      </c>
      <c r="B144" s="15">
        <f t="shared" si="11"/>
        <v>512090.09611973545</v>
      </c>
      <c r="C144" s="15">
        <f t="shared" si="8"/>
        <v>123.04387031765867</v>
      </c>
      <c r="D144" s="15"/>
      <c r="E144" s="15"/>
      <c r="F144" s="15">
        <f t="shared" si="9"/>
        <v>512213.13999005308</v>
      </c>
      <c r="G144" s="11">
        <f t="shared" si="10"/>
        <v>12213.139990053081</v>
      </c>
    </row>
    <row r="145" spans="1:7" x14ac:dyDescent="0.25">
      <c r="A145" s="168">
        <v>45114</v>
      </c>
      <c r="B145" s="15">
        <f t="shared" si="11"/>
        <v>512213.13999005308</v>
      </c>
      <c r="C145" s="15">
        <f t="shared" si="8"/>
        <v>123.07343502538775</v>
      </c>
      <c r="D145" s="15"/>
      <c r="E145" s="15"/>
      <c r="F145" s="15">
        <f t="shared" si="9"/>
        <v>512336.21342507849</v>
      </c>
      <c r="G145" s="11">
        <f t="shared" si="10"/>
        <v>12336.213425078487</v>
      </c>
    </row>
    <row r="146" spans="1:7" x14ac:dyDescent="0.25">
      <c r="A146" s="168">
        <v>45115</v>
      </c>
      <c r="B146" s="15">
        <f t="shared" si="11"/>
        <v>512336.21342507849</v>
      </c>
      <c r="C146" s="15">
        <f t="shared" si="8"/>
        <v>123.10300683685915</v>
      </c>
      <c r="D146" s="15"/>
      <c r="E146" s="15"/>
      <c r="F146" s="15">
        <f t="shared" si="9"/>
        <v>512459.31643191533</v>
      </c>
      <c r="G146" s="11">
        <f t="shared" si="10"/>
        <v>12459.316431915329</v>
      </c>
    </row>
    <row r="147" spans="1:7" x14ac:dyDescent="0.25">
      <c r="A147" s="168">
        <v>45116</v>
      </c>
      <c r="B147" s="15">
        <f t="shared" si="11"/>
        <v>512459.31643191533</v>
      </c>
      <c r="C147" s="15">
        <f t="shared" si="8"/>
        <v>123.13258575377965</v>
      </c>
      <c r="D147" s="15"/>
      <c r="E147" s="15"/>
      <c r="F147" s="15">
        <f t="shared" si="9"/>
        <v>512582.44901766913</v>
      </c>
      <c r="G147" s="11">
        <f t="shared" si="10"/>
        <v>12582.449017669132</v>
      </c>
    </row>
    <row r="148" spans="1:7" x14ac:dyDescent="0.25">
      <c r="A148" s="168">
        <v>45117</v>
      </c>
      <c r="B148" s="15">
        <f t="shared" si="11"/>
        <v>512582.44901766913</v>
      </c>
      <c r="C148" s="15">
        <f t="shared" si="8"/>
        <v>123.16217177785661</v>
      </c>
      <c r="D148" s="15"/>
      <c r="E148" s="15"/>
      <c r="F148" s="15">
        <f t="shared" si="9"/>
        <v>512705.61118944699</v>
      </c>
      <c r="G148" s="11">
        <f t="shared" si="10"/>
        <v>12705.611189446994</v>
      </c>
    </row>
    <row r="149" spans="1:7" x14ac:dyDescent="0.25">
      <c r="A149" s="168">
        <v>45118</v>
      </c>
      <c r="B149" s="15">
        <f t="shared" si="11"/>
        <v>512705.61118944699</v>
      </c>
      <c r="C149" s="15">
        <f t="shared" si="8"/>
        <v>123.19176491079769</v>
      </c>
      <c r="D149" s="15"/>
      <c r="E149" s="15"/>
      <c r="F149" s="15">
        <f t="shared" si="9"/>
        <v>512828.80295435782</v>
      </c>
      <c r="G149" s="11">
        <f t="shared" si="10"/>
        <v>12828.802954357816</v>
      </c>
    </row>
    <row r="150" spans="1:7" x14ac:dyDescent="0.25">
      <c r="A150" s="168">
        <v>45119</v>
      </c>
      <c r="B150" s="15">
        <f t="shared" si="11"/>
        <v>512828.80295435782</v>
      </c>
      <c r="C150" s="15">
        <f t="shared" si="8"/>
        <v>123.22136515431099</v>
      </c>
      <c r="D150" s="15"/>
      <c r="E150" s="15"/>
      <c r="F150" s="15">
        <f t="shared" si="9"/>
        <v>512952.02431951213</v>
      </c>
      <c r="G150" s="11">
        <f t="shared" si="10"/>
        <v>12952.024319512129</v>
      </c>
    </row>
    <row r="151" spans="1:7" x14ac:dyDescent="0.25">
      <c r="A151" s="168">
        <v>45120</v>
      </c>
      <c r="B151" s="15">
        <f t="shared" si="11"/>
        <v>512952.02431951213</v>
      </c>
      <c r="C151" s="15">
        <f t="shared" si="8"/>
        <v>123.250972510105</v>
      </c>
      <c r="D151" s="15"/>
      <c r="E151" s="15"/>
      <c r="F151" s="15">
        <f t="shared" si="9"/>
        <v>513075.27529202221</v>
      </c>
      <c r="G151" s="11">
        <f t="shared" si="10"/>
        <v>13075.275292022212</v>
      </c>
    </row>
    <row r="152" spans="1:7" x14ac:dyDescent="0.25">
      <c r="A152" s="168">
        <v>45121</v>
      </c>
      <c r="B152" s="15">
        <f t="shared" si="11"/>
        <v>513075.27529202221</v>
      </c>
      <c r="C152" s="15">
        <f t="shared" si="8"/>
        <v>123.28058697988867</v>
      </c>
      <c r="D152" s="15"/>
      <c r="E152" s="15"/>
      <c r="F152" s="15">
        <f t="shared" si="9"/>
        <v>513198.55587900209</v>
      </c>
      <c r="G152" s="11">
        <f t="shared" si="10"/>
        <v>13198.555879002088</v>
      </c>
    </row>
    <row r="153" spans="1:7" x14ac:dyDescent="0.25">
      <c r="A153" s="168">
        <v>45122</v>
      </c>
      <c r="B153" s="15">
        <f t="shared" si="11"/>
        <v>513198.55587900209</v>
      </c>
      <c r="C153" s="15">
        <f t="shared" si="8"/>
        <v>123.31020856537134</v>
      </c>
      <c r="D153" s="15"/>
      <c r="E153" s="15"/>
      <c r="F153" s="15">
        <f t="shared" si="9"/>
        <v>513321.86608756747</v>
      </c>
      <c r="G153" s="11">
        <f t="shared" si="10"/>
        <v>13321.866087567469</v>
      </c>
    </row>
    <row r="154" spans="1:7" x14ac:dyDescent="0.25">
      <c r="A154" s="168">
        <v>45123</v>
      </c>
      <c r="B154" s="15">
        <f t="shared" si="11"/>
        <v>513321.86608756747</v>
      </c>
      <c r="C154" s="15">
        <f t="shared" si="8"/>
        <v>123.33983726826274</v>
      </c>
      <c r="D154" s="15"/>
      <c r="E154" s="15"/>
      <c r="F154" s="15">
        <f t="shared" si="9"/>
        <v>513445.20592483575</v>
      </c>
      <c r="G154" s="11">
        <f t="shared" si="10"/>
        <v>13445.205924835755</v>
      </c>
    </row>
    <row r="155" spans="1:7" x14ac:dyDescent="0.25">
      <c r="A155" s="168">
        <v>45124</v>
      </c>
      <c r="B155" s="15">
        <f t="shared" si="11"/>
        <v>513445.20592483575</v>
      </c>
      <c r="C155" s="15">
        <f t="shared" si="8"/>
        <v>123.36947309027305</v>
      </c>
      <c r="D155" s="15"/>
      <c r="E155" s="15"/>
      <c r="F155" s="15">
        <f t="shared" si="9"/>
        <v>513568.57539792603</v>
      </c>
      <c r="G155" s="11">
        <f t="shared" si="10"/>
        <v>13568.575397926033</v>
      </c>
    </row>
    <row r="156" spans="1:7" x14ac:dyDescent="0.25">
      <c r="A156" s="168">
        <v>45125</v>
      </c>
      <c r="B156" s="15">
        <f t="shared" si="11"/>
        <v>513568.57539792603</v>
      </c>
      <c r="C156" s="15">
        <f t="shared" si="8"/>
        <v>123.39911603311279</v>
      </c>
      <c r="D156" s="15"/>
      <c r="E156" s="15"/>
      <c r="F156" s="15">
        <f t="shared" si="9"/>
        <v>513691.97451395914</v>
      </c>
      <c r="G156" s="11">
        <f t="shared" si="10"/>
        <v>13691.97451395914</v>
      </c>
    </row>
    <row r="157" spans="1:7" x14ac:dyDescent="0.25">
      <c r="A157" s="168">
        <v>45126</v>
      </c>
      <c r="B157" s="15">
        <f t="shared" si="11"/>
        <v>513691.97451395914</v>
      </c>
      <c r="C157" s="15">
        <f t="shared" si="8"/>
        <v>123.42876609849296</v>
      </c>
      <c r="D157" s="15"/>
      <c r="E157" s="15"/>
      <c r="F157" s="15">
        <f t="shared" si="9"/>
        <v>513815.40328005765</v>
      </c>
      <c r="G157" s="11">
        <f t="shared" si="10"/>
        <v>13815.403280057653</v>
      </c>
    </row>
    <row r="158" spans="1:7" x14ac:dyDescent="0.25">
      <c r="A158" s="168">
        <v>45127</v>
      </c>
      <c r="B158" s="15">
        <f t="shared" si="11"/>
        <v>513815.40328005765</v>
      </c>
      <c r="C158" s="15">
        <f t="shared" si="8"/>
        <v>123.45842328812498</v>
      </c>
      <c r="D158" s="15"/>
      <c r="E158" s="15"/>
      <c r="F158" s="15">
        <f t="shared" si="9"/>
        <v>513938.86170334578</v>
      </c>
      <c r="G158" s="11">
        <f t="shared" si="10"/>
        <v>13938.861703345785</v>
      </c>
    </row>
    <row r="159" spans="1:7" x14ac:dyDescent="0.25">
      <c r="A159" s="168">
        <v>45128</v>
      </c>
      <c r="B159" s="15">
        <f t="shared" si="11"/>
        <v>513938.86170334578</v>
      </c>
      <c r="C159" s="15">
        <f t="shared" si="8"/>
        <v>123.48808760372057</v>
      </c>
      <c r="D159" s="15"/>
      <c r="E159" s="15"/>
      <c r="F159" s="15">
        <f t="shared" si="9"/>
        <v>514062.34979094949</v>
      </c>
      <c r="G159" s="11">
        <f t="shared" si="10"/>
        <v>14062.349790949491</v>
      </c>
    </row>
    <row r="160" spans="1:7" x14ac:dyDescent="0.25">
      <c r="A160" s="168">
        <v>45129</v>
      </c>
      <c r="B160" s="15">
        <f t="shared" si="11"/>
        <v>514062.34979094949</v>
      </c>
      <c r="C160" s="15">
        <f t="shared" si="8"/>
        <v>123.51775904699203</v>
      </c>
      <c r="D160" s="15"/>
      <c r="E160" s="15"/>
      <c r="F160" s="15">
        <f t="shared" si="9"/>
        <v>514185.86754999647</v>
      </c>
      <c r="G160" s="11">
        <f t="shared" si="10"/>
        <v>14185.867549996474</v>
      </c>
    </row>
    <row r="161" spans="1:7" x14ac:dyDescent="0.25">
      <c r="A161" s="168">
        <v>45130</v>
      </c>
      <c r="B161" s="15">
        <f t="shared" si="11"/>
        <v>514185.86754999647</v>
      </c>
      <c r="C161" s="15">
        <f t="shared" si="8"/>
        <v>123.54743761965193</v>
      </c>
      <c r="D161" s="15"/>
      <c r="E161" s="15"/>
      <c r="F161" s="15">
        <f t="shared" si="9"/>
        <v>514309.41498761612</v>
      </c>
      <c r="G161" s="11">
        <f t="shared" si="10"/>
        <v>14309.414987616125</v>
      </c>
    </row>
    <row r="162" spans="1:7" x14ac:dyDescent="0.25">
      <c r="A162" s="168">
        <v>45131</v>
      </c>
      <c r="B162" s="15">
        <f t="shared" si="11"/>
        <v>514309.41498761612</v>
      </c>
      <c r="C162" s="15">
        <f t="shared" si="8"/>
        <v>123.57712332341333</v>
      </c>
      <c r="D162" s="15"/>
      <c r="E162" s="15"/>
      <c r="F162" s="15">
        <f t="shared" si="9"/>
        <v>514432.99211093952</v>
      </c>
      <c r="G162" s="11">
        <f t="shared" si="10"/>
        <v>14432.992110939522</v>
      </c>
    </row>
    <row r="163" spans="1:7" x14ac:dyDescent="0.25">
      <c r="A163" s="168">
        <v>45132</v>
      </c>
      <c r="B163" s="15">
        <f t="shared" si="11"/>
        <v>514432.99211093952</v>
      </c>
      <c r="C163" s="15">
        <f t="shared" si="8"/>
        <v>123.60681615998963</v>
      </c>
      <c r="D163" s="15"/>
      <c r="E163" s="15"/>
      <c r="F163" s="15">
        <f t="shared" si="9"/>
        <v>514556.59892709949</v>
      </c>
      <c r="G163" s="11">
        <f t="shared" si="10"/>
        <v>14556.598927099491</v>
      </c>
    </row>
    <row r="164" spans="1:7" x14ac:dyDescent="0.25">
      <c r="A164" s="168">
        <v>45133</v>
      </c>
      <c r="B164" s="15">
        <f t="shared" si="11"/>
        <v>514556.59892709949</v>
      </c>
      <c r="C164" s="15">
        <f t="shared" si="8"/>
        <v>123.63651613109474</v>
      </c>
      <c r="D164" s="15"/>
      <c r="E164" s="15"/>
      <c r="F164" s="15">
        <f t="shared" si="9"/>
        <v>514680.2354432306</v>
      </c>
      <c r="G164" s="11">
        <f t="shared" si="10"/>
        <v>14680.235443230602</v>
      </c>
    </row>
    <row r="165" spans="1:7" x14ac:dyDescent="0.25">
      <c r="A165" s="168">
        <v>45134</v>
      </c>
      <c r="B165" s="15">
        <f t="shared" si="11"/>
        <v>514680.2354432306</v>
      </c>
      <c r="C165" s="15">
        <f t="shared" si="8"/>
        <v>123.66622323844292</v>
      </c>
      <c r="D165" s="15"/>
      <c r="E165" s="15"/>
      <c r="F165" s="15">
        <f t="shared" si="9"/>
        <v>514803.90166646906</v>
      </c>
      <c r="G165" s="11">
        <f t="shared" si="10"/>
        <v>14803.901666469057</v>
      </c>
    </row>
    <row r="166" spans="1:7" x14ac:dyDescent="0.25">
      <c r="A166" s="168">
        <v>45135</v>
      </c>
      <c r="B166" s="15">
        <f t="shared" si="11"/>
        <v>514803.90166646906</v>
      </c>
      <c r="C166" s="15">
        <f t="shared" si="8"/>
        <v>123.69593748374881</v>
      </c>
      <c r="D166" s="15"/>
      <c r="E166" s="15"/>
      <c r="F166" s="15">
        <f t="shared" si="9"/>
        <v>514927.5976039528</v>
      </c>
      <c r="G166" s="11">
        <f t="shared" si="10"/>
        <v>14927.597603952803</v>
      </c>
    </row>
    <row r="167" spans="1:7" x14ac:dyDescent="0.25">
      <c r="A167" s="168">
        <v>45136</v>
      </c>
      <c r="B167" s="15">
        <f t="shared" si="11"/>
        <v>514927.5976039528</v>
      </c>
      <c r="C167" s="15">
        <f t="shared" si="8"/>
        <v>123.72565886872756</v>
      </c>
      <c r="D167" s="15"/>
      <c r="E167" s="15"/>
      <c r="F167" s="15">
        <f t="shared" si="9"/>
        <v>515051.32326282153</v>
      </c>
      <c r="G167" s="11">
        <f t="shared" si="10"/>
        <v>15051.323262821534</v>
      </c>
    </row>
    <row r="168" spans="1:7" x14ac:dyDescent="0.25">
      <c r="A168" s="168">
        <v>45137</v>
      </c>
      <c r="B168" s="15">
        <f t="shared" si="11"/>
        <v>515051.32326282153</v>
      </c>
      <c r="C168" s="15">
        <f t="shared" si="8"/>
        <v>123.75538739509462</v>
      </c>
      <c r="D168" s="15"/>
      <c r="E168" s="15"/>
      <c r="F168" s="15">
        <f t="shared" si="9"/>
        <v>515175.07865021663</v>
      </c>
      <c r="G168" s="11">
        <f t="shared" si="10"/>
        <v>15175.07865021663</v>
      </c>
    </row>
    <row r="169" spans="1:7" x14ac:dyDescent="0.25">
      <c r="A169" s="168">
        <v>45138</v>
      </c>
      <c r="B169" s="15">
        <f t="shared" si="11"/>
        <v>515175.07865021663</v>
      </c>
      <c r="C169" s="15">
        <f t="shared" si="8"/>
        <v>123.78512306456594</v>
      </c>
      <c r="D169" s="15"/>
      <c r="E169" s="15"/>
      <c r="F169" s="15">
        <f t="shared" si="9"/>
        <v>515298.86377328122</v>
      </c>
      <c r="G169" s="11">
        <f t="shared" si="10"/>
        <v>15298.86377328122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FD8B-C935-4CA8-ABD7-4712A761A722}">
  <dimension ref="A1:O169"/>
  <sheetViews>
    <sheetView workbookViewId="0">
      <selection activeCell="D12" sqref="D12"/>
    </sheetView>
  </sheetViews>
  <sheetFormatPr defaultRowHeight="15" x14ac:dyDescent="0.25"/>
  <cols>
    <col min="1" max="1" width="10.140625" bestFit="1" customWidth="1"/>
    <col min="2" max="6" width="11.7109375" customWidth="1"/>
    <col min="9" max="9" width="9.5703125" bestFit="1" customWidth="1"/>
  </cols>
  <sheetData>
    <row r="1" spans="1:15" x14ac:dyDescent="0.25">
      <c r="C1">
        <v>8.65</v>
      </c>
    </row>
    <row r="2" spans="1:15" x14ac:dyDescent="0.25">
      <c r="A2" s="17" t="s">
        <v>1</v>
      </c>
      <c r="B2" s="17" t="s">
        <v>352</v>
      </c>
      <c r="C2" s="17" t="s">
        <v>17</v>
      </c>
      <c r="D2" s="17" t="s">
        <v>740</v>
      </c>
      <c r="E2" s="17" t="s">
        <v>741</v>
      </c>
      <c r="F2" s="17" t="s">
        <v>0</v>
      </c>
      <c r="G2" s="479" t="s">
        <v>297</v>
      </c>
    </row>
    <row r="3" spans="1:15" x14ac:dyDescent="0.25">
      <c r="A3" s="168">
        <v>44972</v>
      </c>
      <c r="B3" s="15">
        <v>970000</v>
      </c>
      <c r="C3" s="15">
        <f>B3*$C$1/36000</f>
        <v>233.06944444444446</v>
      </c>
      <c r="D3" s="15"/>
      <c r="E3" s="15"/>
      <c r="F3" s="15">
        <f>B3+C3+D3+E3</f>
        <v>970233.0694444445</v>
      </c>
      <c r="G3" s="11">
        <f>F3-$B$3</f>
        <v>233.06944444449618</v>
      </c>
    </row>
    <row r="4" spans="1:15" x14ac:dyDescent="0.25">
      <c r="A4" s="168">
        <v>44973</v>
      </c>
      <c r="B4" s="15">
        <f>F3</f>
        <v>970233.0694444445</v>
      </c>
      <c r="C4" s="15">
        <f t="shared" ref="C4:C67" si="0">B4*$C$1/36000</f>
        <v>233.12544585262347</v>
      </c>
      <c r="D4" s="15"/>
      <c r="E4" s="15"/>
      <c r="F4" s="15">
        <f t="shared" ref="F4:F67" si="1">B4+C4+D4+E4</f>
        <v>970466.19489029713</v>
      </c>
      <c r="G4" s="11">
        <f t="shared" ref="G4:G67" si="2">F4-$B$3</f>
        <v>466.19489029713441</v>
      </c>
      <c r="M4">
        <v>688000</v>
      </c>
      <c r="N4">
        <f>M4*9.3/1200</f>
        <v>5332.0000000000009</v>
      </c>
      <c r="O4">
        <f>N4/30</f>
        <v>177.73333333333338</v>
      </c>
    </row>
    <row r="5" spans="1:15" x14ac:dyDescent="0.25">
      <c r="A5" s="168">
        <v>44974</v>
      </c>
      <c r="B5" s="15">
        <f t="shared" ref="B5:B68" si="3">F4</f>
        <v>970466.19489029713</v>
      </c>
      <c r="C5" s="15">
        <f t="shared" si="0"/>
        <v>233.18146071669639</v>
      </c>
      <c r="D5" s="15"/>
      <c r="E5" s="15"/>
      <c r="F5" s="15">
        <f t="shared" si="1"/>
        <v>970699.37635101378</v>
      </c>
      <c r="G5" s="11">
        <f t="shared" si="2"/>
        <v>699.37635101377964</v>
      </c>
      <c r="M5">
        <v>688000</v>
      </c>
      <c r="N5">
        <f>M5*9.3/1200</f>
        <v>5332.0000000000009</v>
      </c>
    </row>
    <row r="6" spans="1:15" x14ac:dyDescent="0.25">
      <c r="A6" s="168">
        <v>44975</v>
      </c>
      <c r="B6" s="15">
        <f t="shared" si="3"/>
        <v>970699.37635101378</v>
      </c>
      <c r="C6" s="15">
        <f t="shared" si="0"/>
        <v>233.23748903989636</v>
      </c>
      <c r="D6" s="15"/>
      <c r="E6" s="15"/>
      <c r="F6" s="15">
        <f t="shared" si="1"/>
        <v>970932.61384005367</v>
      </c>
      <c r="G6" s="11">
        <f t="shared" si="2"/>
        <v>932.6138400536729</v>
      </c>
    </row>
    <row r="7" spans="1:15" x14ac:dyDescent="0.25">
      <c r="A7" s="168">
        <v>44976</v>
      </c>
      <c r="B7" s="15">
        <f t="shared" si="3"/>
        <v>970932.61384005367</v>
      </c>
      <c r="C7" s="15">
        <f t="shared" si="0"/>
        <v>233.29353082545734</v>
      </c>
      <c r="D7" s="15"/>
      <c r="E7" s="15"/>
      <c r="F7" s="15">
        <f t="shared" si="1"/>
        <v>971165.90737087908</v>
      </c>
      <c r="G7" s="11">
        <f t="shared" si="2"/>
        <v>1165.907370879082</v>
      </c>
    </row>
    <row r="8" spans="1:15" x14ac:dyDescent="0.25">
      <c r="A8" s="168">
        <v>44977</v>
      </c>
      <c r="B8" s="15">
        <f t="shared" si="3"/>
        <v>971165.90737087908</v>
      </c>
      <c r="C8" s="15">
        <f t="shared" si="0"/>
        <v>233.34958607661403</v>
      </c>
      <c r="D8" s="15"/>
      <c r="E8" s="15"/>
      <c r="F8" s="15">
        <f t="shared" si="1"/>
        <v>971399.25695695565</v>
      </c>
      <c r="G8" s="11">
        <f t="shared" si="2"/>
        <v>1399.2569569556508</v>
      </c>
    </row>
    <row r="9" spans="1:15" x14ac:dyDescent="0.25">
      <c r="A9" s="168">
        <v>44978</v>
      </c>
      <c r="B9" s="15">
        <f t="shared" si="3"/>
        <v>971399.25695695565</v>
      </c>
      <c r="C9" s="15">
        <f t="shared" si="0"/>
        <v>233.40565479660185</v>
      </c>
      <c r="D9" s="15"/>
      <c r="E9" s="15"/>
      <c r="F9" s="15">
        <f t="shared" si="1"/>
        <v>971632.66261175228</v>
      </c>
      <c r="G9" s="11">
        <f t="shared" si="2"/>
        <v>1632.6626117522828</v>
      </c>
    </row>
    <row r="10" spans="1:15" x14ac:dyDescent="0.25">
      <c r="A10" s="168">
        <v>44979</v>
      </c>
      <c r="B10" s="15">
        <f t="shared" si="3"/>
        <v>971632.66261175228</v>
      </c>
      <c r="C10" s="15">
        <f t="shared" si="0"/>
        <v>233.46173698865715</v>
      </c>
      <c r="D10" s="15"/>
      <c r="E10" s="15"/>
      <c r="F10" s="15">
        <f t="shared" si="1"/>
        <v>971866.12434874091</v>
      </c>
      <c r="G10" s="11">
        <f t="shared" si="2"/>
        <v>1866.1243487409083</v>
      </c>
    </row>
    <row r="11" spans="1:15" x14ac:dyDescent="0.25">
      <c r="A11" s="168">
        <v>44980</v>
      </c>
      <c r="B11" s="15">
        <f t="shared" si="3"/>
        <v>971866.12434874091</v>
      </c>
      <c r="C11" s="15">
        <f t="shared" si="0"/>
        <v>233.51783265601694</v>
      </c>
      <c r="D11" s="15"/>
      <c r="E11" s="15"/>
      <c r="F11" s="15">
        <f t="shared" si="1"/>
        <v>972099.64218139695</v>
      </c>
      <c r="G11" s="11">
        <f t="shared" si="2"/>
        <v>2099.64218139695</v>
      </c>
    </row>
    <row r="12" spans="1:15" x14ac:dyDescent="0.25">
      <c r="A12" s="168">
        <v>44981</v>
      </c>
      <c r="B12" s="15">
        <f t="shared" si="3"/>
        <v>972099.64218139695</v>
      </c>
      <c r="C12" s="15">
        <f t="shared" si="0"/>
        <v>233.57394180191898</v>
      </c>
      <c r="D12" s="15"/>
      <c r="E12" s="15"/>
      <c r="F12" s="15">
        <f t="shared" si="1"/>
        <v>972333.21612319886</v>
      </c>
      <c r="G12" s="11">
        <f t="shared" si="2"/>
        <v>2333.2161231988575</v>
      </c>
      <c r="J12" s="11">
        <f>SUM(C3:C46)</f>
        <v>10288.954636159862</v>
      </c>
    </row>
    <row r="13" spans="1:15" x14ac:dyDescent="0.25">
      <c r="A13" s="168">
        <v>44982</v>
      </c>
      <c r="B13" s="15">
        <f t="shared" si="3"/>
        <v>972333.21612319886</v>
      </c>
      <c r="C13" s="15">
        <f t="shared" si="0"/>
        <v>233.63006442960196</v>
      </c>
      <c r="D13" s="15"/>
      <c r="E13" s="15"/>
      <c r="F13" s="15">
        <f t="shared" si="1"/>
        <v>972566.84618762846</v>
      </c>
      <c r="G13" s="11">
        <f t="shared" si="2"/>
        <v>2566.8461876284564</v>
      </c>
    </row>
    <row r="14" spans="1:15" x14ac:dyDescent="0.25">
      <c r="A14" s="168">
        <v>44983</v>
      </c>
      <c r="B14" s="15">
        <f t="shared" si="3"/>
        <v>972566.84618762846</v>
      </c>
      <c r="C14" s="15">
        <f t="shared" si="0"/>
        <v>233.68620054230519</v>
      </c>
      <c r="D14" s="15"/>
      <c r="E14" s="15"/>
      <c r="F14" s="15">
        <f t="shared" si="1"/>
        <v>972800.53238817072</v>
      </c>
      <c r="G14" s="11">
        <f t="shared" si="2"/>
        <v>2800.5323881707154</v>
      </c>
    </row>
    <row r="15" spans="1:15" x14ac:dyDescent="0.25">
      <c r="A15" s="168">
        <v>44984</v>
      </c>
      <c r="B15" s="15">
        <f t="shared" si="3"/>
        <v>972800.53238817072</v>
      </c>
      <c r="C15" s="15">
        <f t="shared" si="0"/>
        <v>233.74235014326879</v>
      </c>
      <c r="D15" s="15"/>
      <c r="E15" s="15"/>
      <c r="F15" s="15">
        <f t="shared" si="1"/>
        <v>973034.27473831398</v>
      </c>
      <c r="G15" s="11">
        <f t="shared" si="2"/>
        <v>3034.2747383139795</v>
      </c>
    </row>
    <row r="16" spans="1:15" x14ac:dyDescent="0.25">
      <c r="A16" s="168">
        <v>44985</v>
      </c>
      <c r="B16" s="15">
        <f t="shared" si="3"/>
        <v>973034.27473831398</v>
      </c>
      <c r="C16" s="15">
        <f t="shared" si="0"/>
        <v>233.79851323573379</v>
      </c>
      <c r="D16" s="15"/>
      <c r="E16" s="15"/>
      <c r="F16" s="15">
        <f t="shared" si="1"/>
        <v>973268.07325154974</v>
      </c>
      <c r="G16" s="11">
        <f t="shared" si="2"/>
        <v>3268.0732515497366</v>
      </c>
    </row>
    <row r="17" spans="1:9" x14ac:dyDescent="0.25">
      <c r="A17" s="168">
        <v>44986</v>
      </c>
      <c r="B17" s="15">
        <f t="shared" si="3"/>
        <v>973268.07325154974</v>
      </c>
      <c r="C17" s="15">
        <f t="shared" si="0"/>
        <v>233.85468982294182</v>
      </c>
      <c r="D17" s="15"/>
      <c r="E17" s="15"/>
      <c r="F17" s="15">
        <f t="shared" si="1"/>
        <v>973501.92794137273</v>
      </c>
      <c r="G17" s="11">
        <f t="shared" si="2"/>
        <v>3501.9279413727345</v>
      </c>
    </row>
    <row r="18" spans="1:9" x14ac:dyDescent="0.25">
      <c r="A18" s="168">
        <v>44987</v>
      </c>
      <c r="B18" s="15">
        <f t="shared" si="3"/>
        <v>973501.92794137273</v>
      </c>
      <c r="C18" s="15">
        <f t="shared" si="0"/>
        <v>233.91087990813543</v>
      </c>
      <c r="D18" s="15"/>
      <c r="E18" s="15"/>
      <c r="F18" s="15">
        <f t="shared" si="1"/>
        <v>973735.83882128086</v>
      </c>
      <c r="G18" s="11">
        <f t="shared" si="2"/>
        <v>3735.8388212808641</v>
      </c>
      <c r="I18" s="11"/>
    </row>
    <row r="19" spans="1:9" x14ac:dyDescent="0.25">
      <c r="A19" s="168">
        <v>44988</v>
      </c>
      <c r="B19" s="15">
        <f t="shared" si="3"/>
        <v>973735.83882128086</v>
      </c>
      <c r="C19" s="15">
        <f t="shared" si="0"/>
        <v>233.96708349455778</v>
      </c>
      <c r="D19" s="15"/>
      <c r="E19" s="15"/>
      <c r="F19" s="15">
        <f t="shared" si="1"/>
        <v>973969.80590477539</v>
      </c>
      <c r="G19" s="11">
        <f t="shared" si="2"/>
        <v>3969.8059047753923</v>
      </c>
      <c r="I19" s="11"/>
    </row>
    <row r="20" spans="1:9" x14ac:dyDescent="0.25">
      <c r="A20" s="168">
        <v>44989</v>
      </c>
      <c r="B20" s="15">
        <f t="shared" si="3"/>
        <v>973969.80590477539</v>
      </c>
      <c r="C20" s="15">
        <f t="shared" si="0"/>
        <v>234.02330058545297</v>
      </c>
      <c r="D20" s="15"/>
      <c r="E20" s="15"/>
      <c r="F20" s="15">
        <f t="shared" si="1"/>
        <v>974203.82920536085</v>
      </c>
      <c r="G20" s="11">
        <f t="shared" si="2"/>
        <v>4203.8292053608457</v>
      </c>
      <c r="I20" s="11"/>
    </row>
    <row r="21" spans="1:9" x14ac:dyDescent="0.25">
      <c r="A21" s="168">
        <v>44990</v>
      </c>
      <c r="B21" s="15">
        <f t="shared" si="3"/>
        <v>974203.82920536085</v>
      </c>
      <c r="C21" s="15">
        <f t="shared" si="0"/>
        <v>234.07953118406587</v>
      </c>
      <c r="D21" s="15"/>
      <c r="E21" s="15"/>
      <c r="F21" s="15">
        <f t="shared" si="1"/>
        <v>974437.90873654489</v>
      </c>
      <c r="G21" s="11">
        <f t="shared" si="2"/>
        <v>4437.9087365448941</v>
      </c>
      <c r="I21" s="11"/>
    </row>
    <row r="22" spans="1:9" x14ac:dyDescent="0.25">
      <c r="A22" s="168">
        <v>44991</v>
      </c>
      <c r="B22" s="15">
        <f t="shared" si="3"/>
        <v>974437.90873654489</v>
      </c>
      <c r="C22" s="15">
        <f t="shared" si="0"/>
        <v>234.13577529364204</v>
      </c>
      <c r="D22" s="15"/>
      <c r="E22" s="15"/>
      <c r="F22" s="15">
        <f t="shared" si="1"/>
        <v>974672.04451183858</v>
      </c>
      <c r="G22" s="11">
        <f t="shared" si="2"/>
        <v>4672.0445118385833</v>
      </c>
      <c r="I22" s="11"/>
    </row>
    <row r="23" spans="1:9" x14ac:dyDescent="0.25">
      <c r="A23" s="168">
        <v>44992</v>
      </c>
      <c r="B23" s="15">
        <f t="shared" si="3"/>
        <v>974672.04451183858</v>
      </c>
      <c r="C23" s="15">
        <f t="shared" si="0"/>
        <v>234.19203291742789</v>
      </c>
      <c r="D23" s="15"/>
      <c r="E23" s="15"/>
      <c r="F23" s="15">
        <f t="shared" si="1"/>
        <v>974906.23654475599</v>
      </c>
      <c r="G23" s="11">
        <f t="shared" si="2"/>
        <v>4906.236544755986</v>
      </c>
      <c r="I23" s="11"/>
    </row>
    <row r="24" spans="1:9" x14ac:dyDescent="0.25">
      <c r="A24" s="168">
        <v>44993</v>
      </c>
      <c r="B24" s="15">
        <f t="shared" si="3"/>
        <v>974906.23654475599</v>
      </c>
      <c r="C24" s="15">
        <f t="shared" si="0"/>
        <v>234.24830405867053</v>
      </c>
      <c r="D24" s="15"/>
      <c r="E24" s="15"/>
      <c r="F24" s="15">
        <f t="shared" si="1"/>
        <v>975140.48484881467</v>
      </c>
      <c r="G24" s="11">
        <f t="shared" si="2"/>
        <v>5140.4848488146672</v>
      </c>
      <c r="I24" s="11"/>
    </row>
    <row r="25" spans="1:9" x14ac:dyDescent="0.25">
      <c r="A25" s="168">
        <v>44994</v>
      </c>
      <c r="B25" s="15">
        <f t="shared" si="3"/>
        <v>975140.48484881467</v>
      </c>
      <c r="C25" s="15">
        <f t="shared" si="0"/>
        <v>234.30458872061797</v>
      </c>
      <c r="D25" s="15"/>
      <c r="E25" s="15"/>
      <c r="F25" s="15">
        <f t="shared" si="1"/>
        <v>975374.78943753534</v>
      </c>
      <c r="G25" s="11">
        <f t="shared" si="2"/>
        <v>5374.7894375353353</v>
      </c>
      <c r="I25" s="11"/>
    </row>
    <row r="26" spans="1:9" x14ac:dyDescent="0.25">
      <c r="A26" s="168">
        <v>44995</v>
      </c>
      <c r="B26" s="15">
        <f t="shared" si="3"/>
        <v>975374.78943753534</v>
      </c>
      <c r="C26" s="15">
        <f t="shared" si="0"/>
        <v>234.36088690651891</v>
      </c>
      <c r="D26" s="15"/>
      <c r="E26" s="15"/>
      <c r="F26" s="15">
        <f t="shared" si="1"/>
        <v>975609.15032444184</v>
      </c>
      <c r="G26" s="11">
        <f t="shared" si="2"/>
        <v>5609.1503244418418</v>
      </c>
      <c r="I26" s="11"/>
    </row>
    <row r="27" spans="1:9" x14ac:dyDescent="0.25">
      <c r="A27" s="168">
        <v>44996</v>
      </c>
      <c r="B27" s="15">
        <f t="shared" si="3"/>
        <v>975609.15032444184</v>
      </c>
      <c r="C27" s="15">
        <f t="shared" si="0"/>
        <v>234.41719861962284</v>
      </c>
      <c r="D27" s="15"/>
      <c r="E27" s="15"/>
      <c r="F27" s="15">
        <f t="shared" si="1"/>
        <v>975843.56752306141</v>
      </c>
      <c r="G27" s="11">
        <f t="shared" si="2"/>
        <v>5843.5675230614142</v>
      </c>
      <c r="I27" s="11"/>
    </row>
    <row r="28" spans="1:9" x14ac:dyDescent="0.25">
      <c r="A28" s="168">
        <v>44997</v>
      </c>
      <c r="B28" s="15">
        <f t="shared" si="3"/>
        <v>975843.56752306141</v>
      </c>
      <c r="C28" s="15">
        <f t="shared" si="0"/>
        <v>234.47352386318002</v>
      </c>
      <c r="D28" s="15"/>
      <c r="E28" s="15"/>
      <c r="F28" s="15">
        <f t="shared" si="1"/>
        <v>976078.04104692454</v>
      </c>
      <c r="G28" s="11">
        <f t="shared" si="2"/>
        <v>6078.0410469245398</v>
      </c>
      <c r="I28" s="11"/>
    </row>
    <row r="29" spans="1:9" x14ac:dyDescent="0.25">
      <c r="A29" s="168">
        <v>44998</v>
      </c>
      <c r="B29" s="15">
        <f t="shared" si="3"/>
        <v>976078.04104692454</v>
      </c>
      <c r="C29" s="15">
        <f t="shared" si="0"/>
        <v>234.52986264044159</v>
      </c>
      <c r="D29" s="15"/>
      <c r="E29" s="15"/>
      <c r="F29" s="15">
        <f t="shared" si="1"/>
        <v>976312.57090956497</v>
      </c>
      <c r="G29" s="11">
        <f t="shared" si="2"/>
        <v>6312.5709095649654</v>
      </c>
      <c r="I29" s="11"/>
    </row>
    <row r="30" spans="1:9" x14ac:dyDescent="0.25">
      <c r="A30" s="168">
        <v>44999</v>
      </c>
      <c r="B30" s="15">
        <f t="shared" si="3"/>
        <v>976312.57090956497</v>
      </c>
      <c r="C30" s="15">
        <f t="shared" si="0"/>
        <v>234.5862149546594</v>
      </c>
      <c r="D30" s="15">
        <v>-5000</v>
      </c>
      <c r="E30" s="15"/>
      <c r="F30" s="15">
        <f t="shared" si="1"/>
        <v>971547.15712451958</v>
      </c>
      <c r="G30" s="11">
        <f t="shared" si="2"/>
        <v>1547.157124519581</v>
      </c>
      <c r="I30" s="11"/>
    </row>
    <row r="31" spans="1:9" x14ac:dyDescent="0.25">
      <c r="A31" s="168">
        <v>45000</v>
      </c>
      <c r="B31" s="15">
        <f t="shared" si="3"/>
        <v>971547.15712451958</v>
      </c>
      <c r="C31" s="15">
        <f t="shared" si="0"/>
        <v>233.44119192019704</v>
      </c>
      <c r="D31" s="15"/>
      <c r="E31" s="15"/>
      <c r="F31" s="15">
        <f t="shared" si="1"/>
        <v>971780.59831643978</v>
      </c>
      <c r="G31" s="11">
        <f t="shared" si="2"/>
        <v>1780.5983164397767</v>
      </c>
    </row>
    <row r="32" spans="1:9" x14ac:dyDescent="0.25">
      <c r="A32" s="168">
        <v>45001</v>
      </c>
      <c r="B32" s="15">
        <f t="shared" si="3"/>
        <v>971780.59831643978</v>
      </c>
      <c r="C32" s="15">
        <f t="shared" si="0"/>
        <v>233.49728265103346</v>
      </c>
      <c r="D32" s="15"/>
      <c r="E32" s="15"/>
      <c r="F32" s="15">
        <f t="shared" si="1"/>
        <v>972014.0955990908</v>
      </c>
      <c r="G32" s="11">
        <f t="shared" si="2"/>
        <v>2014.0955990907969</v>
      </c>
    </row>
    <row r="33" spans="1:7" x14ac:dyDescent="0.25">
      <c r="A33" s="168">
        <v>45002</v>
      </c>
      <c r="B33" s="15">
        <f t="shared" si="3"/>
        <v>972014.0955990908</v>
      </c>
      <c r="C33" s="15">
        <f t="shared" si="0"/>
        <v>233.55338685922598</v>
      </c>
      <c r="D33" s="15"/>
      <c r="E33" s="15"/>
      <c r="F33" s="15">
        <f t="shared" si="1"/>
        <v>972247.64898595004</v>
      </c>
      <c r="G33" s="11">
        <f t="shared" si="2"/>
        <v>2247.6489859500434</v>
      </c>
    </row>
    <row r="34" spans="1:7" x14ac:dyDescent="0.25">
      <c r="A34" s="168">
        <v>45003</v>
      </c>
      <c r="B34" s="15">
        <f t="shared" si="3"/>
        <v>972247.64898595004</v>
      </c>
      <c r="C34" s="15">
        <f t="shared" si="0"/>
        <v>233.60950454801301</v>
      </c>
      <c r="D34" s="15"/>
      <c r="E34" s="15"/>
      <c r="F34" s="15">
        <f t="shared" si="1"/>
        <v>972481.25849049806</v>
      </c>
      <c r="G34" s="11">
        <f t="shared" si="2"/>
        <v>2481.2584904980613</v>
      </c>
    </row>
    <row r="35" spans="1:7" x14ac:dyDescent="0.25">
      <c r="A35" s="168">
        <v>45004</v>
      </c>
      <c r="B35" s="15">
        <f t="shared" si="3"/>
        <v>972481.25849049806</v>
      </c>
      <c r="C35" s="15">
        <f t="shared" si="0"/>
        <v>233.66563572063359</v>
      </c>
      <c r="D35" s="15"/>
      <c r="E35" s="15"/>
      <c r="F35" s="15">
        <f t="shared" si="1"/>
        <v>972714.92412621866</v>
      </c>
      <c r="G35" s="11">
        <f t="shared" si="2"/>
        <v>2714.9241262186551</v>
      </c>
    </row>
    <row r="36" spans="1:7" x14ac:dyDescent="0.25">
      <c r="A36" s="168">
        <v>45005</v>
      </c>
      <c r="B36" s="15">
        <f t="shared" si="3"/>
        <v>972714.92412621866</v>
      </c>
      <c r="C36" s="15">
        <f t="shared" si="0"/>
        <v>233.72178038032757</v>
      </c>
      <c r="D36" s="15"/>
      <c r="E36" s="15"/>
      <c r="F36" s="15">
        <f t="shared" si="1"/>
        <v>972948.64590659901</v>
      </c>
      <c r="G36" s="11">
        <f t="shared" si="2"/>
        <v>2948.6459065990057</v>
      </c>
    </row>
    <row r="37" spans="1:7" x14ac:dyDescent="0.25">
      <c r="A37" s="168">
        <v>45006</v>
      </c>
      <c r="B37" s="15">
        <f t="shared" si="3"/>
        <v>972948.64590659901</v>
      </c>
      <c r="C37" s="15">
        <f t="shared" si="0"/>
        <v>233.7779385303356</v>
      </c>
      <c r="D37" s="15"/>
      <c r="E37" s="15"/>
      <c r="F37" s="15">
        <f t="shared" si="1"/>
        <v>973182.42384512932</v>
      </c>
      <c r="G37" s="11">
        <f t="shared" si="2"/>
        <v>3182.4238451293204</v>
      </c>
    </row>
    <row r="38" spans="1:7" x14ac:dyDescent="0.25">
      <c r="A38" s="168">
        <v>45007</v>
      </c>
      <c r="B38" s="15">
        <f t="shared" si="3"/>
        <v>973182.42384512932</v>
      </c>
      <c r="C38" s="15">
        <f t="shared" si="0"/>
        <v>233.83411017389918</v>
      </c>
      <c r="D38" s="15"/>
      <c r="E38" s="15"/>
      <c r="F38" s="15">
        <f t="shared" si="1"/>
        <v>973416.25795530318</v>
      </c>
      <c r="G38" s="11">
        <f t="shared" si="2"/>
        <v>3416.2579553031828</v>
      </c>
    </row>
    <row r="39" spans="1:7" x14ac:dyDescent="0.25">
      <c r="A39" s="168">
        <v>45008</v>
      </c>
      <c r="B39" s="15">
        <f t="shared" si="3"/>
        <v>973416.25795530318</v>
      </c>
      <c r="C39" s="15">
        <f t="shared" si="0"/>
        <v>233.89029531426036</v>
      </c>
      <c r="D39" s="15"/>
      <c r="E39" s="15"/>
      <c r="F39" s="15">
        <f t="shared" si="1"/>
        <v>973650.14825061744</v>
      </c>
      <c r="G39" s="11">
        <f t="shared" si="2"/>
        <v>3650.1482506174361</v>
      </c>
    </row>
    <row r="40" spans="1:7" x14ac:dyDescent="0.25">
      <c r="A40" s="168">
        <v>45009</v>
      </c>
      <c r="B40" s="15">
        <f t="shared" si="3"/>
        <v>973650.14825061744</v>
      </c>
      <c r="C40" s="15">
        <f t="shared" si="0"/>
        <v>233.94649395466223</v>
      </c>
      <c r="D40" s="15"/>
      <c r="E40" s="15"/>
      <c r="F40" s="15">
        <f t="shared" si="1"/>
        <v>973884.09474457207</v>
      </c>
      <c r="G40" s="11">
        <f t="shared" si="2"/>
        <v>3884.0947445720667</v>
      </c>
    </row>
    <row r="41" spans="1:7" x14ac:dyDescent="0.25">
      <c r="A41" s="168">
        <v>45010</v>
      </c>
      <c r="B41" s="15">
        <f t="shared" si="3"/>
        <v>973884.09474457207</v>
      </c>
      <c r="C41" s="15">
        <f t="shared" si="0"/>
        <v>234.00270609834857</v>
      </c>
      <c r="D41" s="15"/>
      <c r="E41" s="15"/>
      <c r="F41" s="15">
        <f t="shared" si="1"/>
        <v>974118.09745067044</v>
      </c>
      <c r="G41" s="11">
        <f t="shared" si="2"/>
        <v>4118.097450670437</v>
      </c>
    </row>
    <row r="42" spans="1:7" x14ac:dyDescent="0.25">
      <c r="A42" s="168">
        <v>45011</v>
      </c>
      <c r="B42" s="15">
        <f t="shared" si="3"/>
        <v>974118.09745067044</v>
      </c>
      <c r="C42" s="15">
        <f t="shared" si="0"/>
        <v>234.05893174856388</v>
      </c>
      <c r="D42" s="15"/>
      <c r="E42" s="15"/>
      <c r="F42" s="15">
        <f t="shared" si="1"/>
        <v>974352.15638241905</v>
      </c>
      <c r="G42" s="11">
        <f t="shared" si="2"/>
        <v>4352.1563824190525</v>
      </c>
    </row>
    <row r="43" spans="1:7" x14ac:dyDescent="0.25">
      <c r="A43" s="168">
        <v>45012</v>
      </c>
      <c r="B43" s="15">
        <f t="shared" si="3"/>
        <v>974352.15638241905</v>
      </c>
      <c r="C43" s="15">
        <f t="shared" si="0"/>
        <v>234.11517090855347</v>
      </c>
      <c r="D43" s="15"/>
      <c r="E43" s="15"/>
      <c r="F43" s="15">
        <f t="shared" si="1"/>
        <v>974586.27155332756</v>
      </c>
      <c r="G43" s="11">
        <f t="shared" si="2"/>
        <v>4586.2715533275623</v>
      </c>
    </row>
    <row r="44" spans="1:7" x14ac:dyDescent="0.25">
      <c r="A44" s="168">
        <v>45013</v>
      </c>
      <c r="B44" s="15">
        <f t="shared" si="3"/>
        <v>974586.27155332756</v>
      </c>
      <c r="C44" s="15">
        <f t="shared" si="0"/>
        <v>234.17142358156346</v>
      </c>
      <c r="D44" s="15"/>
      <c r="E44" s="15"/>
      <c r="F44" s="15">
        <f t="shared" si="1"/>
        <v>974820.44297690911</v>
      </c>
      <c r="G44" s="11">
        <f t="shared" si="2"/>
        <v>4820.4429769091075</v>
      </c>
    </row>
    <row r="45" spans="1:7" x14ac:dyDescent="0.25">
      <c r="A45" s="168">
        <v>45014</v>
      </c>
      <c r="B45" s="15">
        <f t="shared" si="3"/>
        <v>974820.44297690911</v>
      </c>
      <c r="C45" s="15">
        <f t="shared" si="0"/>
        <v>234.22768977084067</v>
      </c>
      <c r="D45" s="15"/>
      <c r="E45" s="15"/>
      <c r="F45" s="15">
        <f t="shared" si="1"/>
        <v>975054.67066667997</v>
      </c>
      <c r="G45" s="11">
        <f t="shared" si="2"/>
        <v>5054.6706666799728</v>
      </c>
    </row>
    <row r="46" spans="1:7" x14ac:dyDescent="0.25">
      <c r="A46" s="168">
        <v>45015</v>
      </c>
      <c r="B46" s="15">
        <f t="shared" si="3"/>
        <v>975054.67066667997</v>
      </c>
      <c r="C46" s="15">
        <f t="shared" si="0"/>
        <v>234.28396947963282</v>
      </c>
      <c r="D46" s="15"/>
      <c r="E46" s="15"/>
      <c r="F46" s="15">
        <f t="shared" si="1"/>
        <v>975288.95463615959</v>
      </c>
      <c r="G46" s="11">
        <f t="shared" si="2"/>
        <v>5288.9546361595858</v>
      </c>
    </row>
    <row r="47" spans="1:7" x14ac:dyDescent="0.25">
      <c r="A47" s="168">
        <v>45016</v>
      </c>
      <c r="B47" s="15">
        <f t="shared" si="3"/>
        <v>975288.95463615959</v>
      </c>
      <c r="C47" s="15">
        <f t="shared" si="0"/>
        <v>234.34026271118833</v>
      </c>
      <c r="D47" s="15"/>
      <c r="E47" s="15"/>
      <c r="F47" s="15">
        <f t="shared" si="1"/>
        <v>975523.29489887075</v>
      </c>
      <c r="G47" s="11">
        <f t="shared" si="2"/>
        <v>5523.2948988707503</v>
      </c>
    </row>
    <row r="48" spans="1:7" x14ac:dyDescent="0.25">
      <c r="A48" s="168">
        <v>45017</v>
      </c>
      <c r="B48" s="15">
        <f t="shared" si="3"/>
        <v>975523.29489887075</v>
      </c>
      <c r="C48" s="15">
        <f t="shared" si="0"/>
        <v>234.39656946875647</v>
      </c>
      <c r="D48" s="15"/>
      <c r="E48" s="15"/>
      <c r="F48" s="15">
        <f t="shared" si="1"/>
        <v>975757.69146833953</v>
      </c>
      <c r="G48" s="11">
        <f t="shared" si="2"/>
        <v>5757.6914683395298</v>
      </c>
    </row>
    <row r="49" spans="1:7" x14ac:dyDescent="0.25">
      <c r="A49" s="168">
        <v>45018</v>
      </c>
      <c r="B49" s="15">
        <f t="shared" si="3"/>
        <v>975757.69146833953</v>
      </c>
      <c r="C49" s="15">
        <f t="shared" si="0"/>
        <v>234.45288975558714</v>
      </c>
      <c r="D49" s="15"/>
      <c r="E49" s="15"/>
      <c r="F49" s="15">
        <f t="shared" si="1"/>
        <v>975992.14435809513</v>
      </c>
      <c r="G49" s="11">
        <f t="shared" si="2"/>
        <v>5992.1443580951309</v>
      </c>
    </row>
    <row r="50" spans="1:7" x14ac:dyDescent="0.25">
      <c r="A50" s="168">
        <v>45019</v>
      </c>
      <c r="B50" s="15">
        <f t="shared" si="3"/>
        <v>975992.14435809513</v>
      </c>
      <c r="C50" s="15">
        <f t="shared" si="0"/>
        <v>234.50922357493121</v>
      </c>
      <c r="D50" s="15"/>
      <c r="E50" s="15"/>
      <c r="F50" s="15">
        <f t="shared" si="1"/>
        <v>976226.65358167002</v>
      </c>
      <c r="G50" s="11">
        <f t="shared" si="2"/>
        <v>6226.6535816700198</v>
      </c>
    </row>
    <row r="51" spans="1:7" x14ac:dyDescent="0.25">
      <c r="A51" s="168">
        <v>45020</v>
      </c>
      <c r="B51" s="15">
        <f t="shared" si="3"/>
        <v>976226.65358167002</v>
      </c>
      <c r="C51" s="15">
        <f t="shared" si="0"/>
        <v>234.5655709300402</v>
      </c>
      <c r="D51" s="15"/>
      <c r="E51" s="15"/>
      <c r="F51" s="15">
        <f t="shared" si="1"/>
        <v>976461.21915260004</v>
      </c>
      <c r="G51" s="11">
        <f t="shared" si="2"/>
        <v>6461.2191526000388</v>
      </c>
    </row>
    <row r="52" spans="1:7" x14ac:dyDescent="0.25">
      <c r="A52" s="168">
        <v>45021</v>
      </c>
      <c r="B52" s="15">
        <f t="shared" si="3"/>
        <v>976461.21915260004</v>
      </c>
      <c r="C52" s="15">
        <f t="shared" si="0"/>
        <v>234.62193182416644</v>
      </c>
      <c r="D52" s="15"/>
      <c r="E52" s="15"/>
      <c r="F52" s="15">
        <f t="shared" si="1"/>
        <v>976695.84108442417</v>
      </c>
      <c r="G52" s="11">
        <f t="shared" si="2"/>
        <v>6695.8410844241735</v>
      </c>
    </row>
    <row r="53" spans="1:7" x14ac:dyDescent="0.25">
      <c r="A53" s="168">
        <v>45022</v>
      </c>
      <c r="B53" s="15">
        <f t="shared" si="3"/>
        <v>976695.84108442417</v>
      </c>
      <c r="C53" s="15">
        <f t="shared" si="0"/>
        <v>234.67830626056303</v>
      </c>
      <c r="D53" s="15"/>
      <c r="E53" s="15"/>
      <c r="F53" s="15">
        <f t="shared" si="1"/>
        <v>976930.51939068479</v>
      </c>
      <c r="G53" s="11">
        <f t="shared" si="2"/>
        <v>6930.5193906847853</v>
      </c>
    </row>
    <row r="54" spans="1:7" x14ac:dyDescent="0.25">
      <c r="A54" s="168">
        <v>45023</v>
      </c>
      <c r="B54" s="15">
        <f t="shared" si="3"/>
        <v>976930.51939068479</v>
      </c>
      <c r="C54" s="15">
        <f t="shared" si="0"/>
        <v>234.73469424248398</v>
      </c>
      <c r="D54" s="15"/>
      <c r="E54" s="15"/>
      <c r="F54" s="15">
        <f t="shared" si="1"/>
        <v>977165.25408492726</v>
      </c>
      <c r="G54" s="11">
        <f t="shared" si="2"/>
        <v>7165.2540849272627</v>
      </c>
    </row>
    <row r="55" spans="1:7" x14ac:dyDescent="0.25">
      <c r="A55" s="168">
        <v>45024</v>
      </c>
      <c r="B55" s="15">
        <f t="shared" si="3"/>
        <v>977165.25408492726</v>
      </c>
      <c r="C55" s="15">
        <f t="shared" si="0"/>
        <v>234.79109577318388</v>
      </c>
      <c r="D55" s="15"/>
      <c r="E55" s="15"/>
      <c r="F55" s="15">
        <f t="shared" si="1"/>
        <v>977400.04518070049</v>
      </c>
      <c r="G55" s="11">
        <f t="shared" si="2"/>
        <v>7400.0451807004865</v>
      </c>
    </row>
    <row r="56" spans="1:7" x14ac:dyDescent="0.25">
      <c r="A56" s="168">
        <v>45025</v>
      </c>
      <c r="B56" s="15">
        <f t="shared" si="3"/>
        <v>977400.04518070049</v>
      </c>
      <c r="C56" s="15">
        <f t="shared" si="0"/>
        <v>234.84751085591833</v>
      </c>
      <c r="D56" s="15"/>
      <c r="E56" s="15"/>
      <c r="F56" s="15">
        <f t="shared" si="1"/>
        <v>977634.89269155636</v>
      </c>
      <c r="G56" s="11">
        <f t="shared" si="2"/>
        <v>7634.8926915563643</v>
      </c>
    </row>
    <row r="57" spans="1:7" x14ac:dyDescent="0.25">
      <c r="A57" s="168">
        <v>45026</v>
      </c>
      <c r="B57" s="15">
        <f t="shared" si="3"/>
        <v>977634.89269155636</v>
      </c>
      <c r="C57" s="15">
        <f t="shared" si="0"/>
        <v>234.90393949394343</v>
      </c>
      <c r="D57" s="15"/>
      <c r="E57" s="15"/>
      <c r="F57" s="15">
        <f t="shared" si="1"/>
        <v>977869.7966310503</v>
      </c>
      <c r="G57" s="11">
        <f t="shared" si="2"/>
        <v>7869.7966310502961</v>
      </c>
    </row>
    <row r="58" spans="1:7" x14ac:dyDescent="0.25">
      <c r="A58" s="168">
        <v>45027</v>
      </c>
      <c r="B58" s="15">
        <f t="shared" si="3"/>
        <v>977869.7966310503</v>
      </c>
      <c r="C58" s="15">
        <f t="shared" si="0"/>
        <v>234.96038169051624</v>
      </c>
      <c r="D58" s="15"/>
      <c r="E58" s="15"/>
      <c r="F58" s="15">
        <f t="shared" si="1"/>
        <v>978104.75701274083</v>
      </c>
      <c r="G58" s="11">
        <f t="shared" si="2"/>
        <v>8104.7570127408253</v>
      </c>
    </row>
    <row r="59" spans="1:7" x14ac:dyDescent="0.25">
      <c r="A59" s="168">
        <v>45028</v>
      </c>
      <c r="B59" s="15">
        <f t="shared" si="3"/>
        <v>978104.75701274083</v>
      </c>
      <c r="C59" s="15">
        <f t="shared" si="0"/>
        <v>235.01683744889468</v>
      </c>
      <c r="D59" s="15"/>
      <c r="E59" s="15"/>
      <c r="F59" s="15">
        <f t="shared" si="1"/>
        <v>978339.77385018975</v>
      </c>
      <c r="G59" s="11">
        <f t="shared" si="2"/>
        <v>8339.7738501897547</v>
      </c>
    </row>
    <row r="60" spans="1:7" x14ac:dyDescent="0.25">
      <c r="A60" s="168">
        <v>45029</v>
      </c>
      <c r="B60" s="15">
        <f t="shared" si="3"/>
        <v>978339.77385018975</v>
      </c>
      <c r="C60" s="15">
        <f t="shared" si="0"/>
        <v>235.0733067723373</v>
      </c>
      <c r="D60" s="15"/>
      <c r="E60" s="15"/>
      <c r="F60" s="15">
        <f t="shared" si="1"/>
        <v>978574.84715696215</v>
      </c>
      <c r="G60" s="11">
        <f t="shared" si="2"/>
        <v>8574.847156962147</v>
      </c>
    </row>
    <row r="61" spans="1:7" x14ac:dyDescent="0.25">
      <c r="A61" s="168">
        <v>45030</v>
      </c>
      <c r="B61" s="15">
        <f t="shared" si="3"/>
        <v>978574.84715696215</v>
      </c>
      <c r="C61" s="15">
        <f t="shared" si="0"/>
        <v>235.12978966410338</v>
      </c>
      <c r="D61" s="15"/>
      <c r="E61" s="15"/>
      <c r="F61" s="15">
        <f t="shared" si="1"/>
        <v>978809.97694662621</v>
      </c>
      <c r="G61" s="11">
        <f t="shared" si="2"/>
        <v>8809.9769466262078</v>
      </c>
    </row>
    <row r="62" spans="1:7" x14ac:dyDescent="0.25">
      <c r="A62" s="168">
        <v>45031</v>
      </c>
      <c r="B62" s="15">
        <f t="shared" si="3"/>
        <v>978809.97694662621</v>
      </c>
      <c r="C62" s="15">
        <f t="shared" si="0"/>
        <v>235.18628612745326</v>
      </c>
      <c r="D62" s="15"/>
      <c r="E62" s="15"/>
      <c r="F62" s="15">
        <f t="shared" si="1"/>
        <v>979045.16323275364</v>
      </c>
      <c r="G62" s="11">
        <f t="shared" si="2"/>
        <v>9045.1632327536354</v>
      </c>
    </row>
    <row r="63" spans="1:7" x14ac:dyDescent="0.25">
      <c r="A63" s="168">
        <v>45032</v>
      </c>
      <c r="B63" s="15">
        <f t="shared" si="3"/>
        <v>979045.16323275364</v>
      </c>
      <c r="C63" s="15">
        <f t="shared" si="0"/>
        <v>235.24279616564777</v>
      </c>
      <c r="D63" s="15"/>
      <c r="E63" s="15"/>
      <c r="F63" s="15">
        <f t="shared" si="1"/>
        <v>979280.40602891927</v>
      </c>
      <c r="G63" s="11">
        <f t="shared" si="2"/>
        <v>9280.4060289192712</v>
      </c>
    </row>
    <row r="64" spans="1:7" x14ac:dyDescent="0.25">
      <c r="A64" s="168">
        <v>45033</v>
      </c>
      <c r="B64" s="15">
        <f t="shared" si="3"/>
        <v>979280.40602891927</v>
      </c>
      <c r="C64" s="15">
        <f t="shared" si="0"/>
        <v>235.29931978194867</v>
      </c>
      <c r="D64" s="15"/>
      <c r="E64" s="15"/>
      <c r="F64" s="15">
        <f t="shared" si="1"/>
        <v>979515.70534870122</v>
      </c>
      <c r="G64" s="11">
        <f t="shared" si="2"/>
        <v>9515.7053487012163</v>
      </c>
    </row>
    <row r="65" spans="1:7" x14ac:dyDescent="0.25">
      <c r="A65" s="168">
        <v>45034</v>
      </c>
      <c r="B65" s="15">
        <f t="shared" si="3"/>
        <v>979515.70534870122</v>
      </c>
      <c r="C65" s="15">
        <f t="shared" si="0"/>
        <v>235.35585697961852</v>
      </c>
      <c r="D65" s="15"/>
      <c r="E65" s="15"/>
      <c r="F65" s="15">
        <f t="shared" si="1"/>
        <v>979751.06120568083</v>
      </c>
      <c r="G65" s="11">
        <f t="shared" si="2"/>
        <v>9751.0612056808313</v>
      </c>
    </row>
    <row r="66" spans="1:7" x14ac:dyDescent="0.25">
      <c r="A66" s="168">
        <v>45035</v>
      </c>
      <c r="B66" s="15">
        <f t="shared" si="3"/>
        <v>979751.06120568083</v>
      </c>
      <c r="C66" s="15">
        <f t="shared" si="0"/>
        <v>235.41240776192055</v>
      </c>
      <c r="D66" s="15"/>
      <c r="E66" s="15"/>
      <c r="F66" s="15">
        <f t="shared" si="1"/>
        <v>979986.47361344274</v>
      </c>
      <c r="G66" s="11">
        <f t="shared" si="2"/>
        <v>9986.4736134427367</v>
      </c>
    </row>
    <row r="67" spans="1:7" x14ac:dyDescent="0.25">
      <c r="A67" s="168">
        <v>45036</v>
      </c>
      <c r="B67" s="15">
        <f t="shared" si="3"/>
        <v>979986.47361344274</v>
      </c>
      <c r="C67" s="15">
        <f t="shared" si="0"/>
        <v>235.46897213211889</v>
      </c>
      <c r="D67" s="15"/>
      <c r="E67" s="15"/>
      <c r="F67" s="15">
        <f t="shared" si="1"/>
        <v>980221.94258557481</v>
      </c>
      <c r="G67" s="11">
        <f t="shared" si="2"/>
        <v>10221.942585574812</v>
      </c>
    </row>
    <row r="68" spans="1:7" x14ac:dyDescent="0.25">
      <c r="A68" s="168">
        <v>45037</v>
      </c>
      <c r="B68" s="15">
        <f t="shared" si="3"/>
        <v>980221.94258557481</v>
      </c>
      <c r="C68" s="15">
        <f t="shared" ref="C68:C131" si="4">B68*$C$1/36000</f>
        <v>235.52555009347842</v>
      </c>
      <c r="D68" s="15"/>
      <c r="E68" s="15"/>
      <c r="F68" s="15">
        <f t="shared" ref="F68:F131" si="5">B68+C68+D68+E68</f>
        <v>980457.46813566831</v>
      </c>
      <c r="G68" s="11">
        <f t="shared" ref="G68:G131" si="6">F68-$B$3</f>
        <v>10457.468135668314</v>
      </c>
    </row>
    <row r="69" spans="1:7" x14ac:dyDescent="0.25">
      <c r="A69" s="168">
        <v>45038</v>
      </c>
      <c r="B69" s="15">
        <f t="shared" ref="B69:B132" si="7">F68</f>
        <v>980457.46813566831</v>
      </c>
      <c r="C69" s="15">
        <f t="shared" si="4"/>
        <v>235.58214164926474</v>
      </c>
      <c r="D69" s="15"/>
      <c r="E69" s="15"/>
      <c r="F69" s="15">
        <f t="shared" si="5"/>
        <v>980693.05027731752</v>
      </c>
      <c r="G69" s="11">
        <f t="shared" si="6"/>
        <v>10693.050277317525</v>
      </c>
    </row>
    <row r="70" spans="1:7" x14ac:dyDescent="0.25">
      <c r="A70" s="168">
        <v>45039</v>
      </c>
      <c r="B70" s="15">
        <f t="shared" si="7"/>
        <v>980693.05027731752</v>
      </c>
      <c r="C70" s="15">
        <f t="shared" si="4"/>
        <v>235.63874680274435</v>
      </c>
      <c r="D70" s="15"/>
      <c r="E70" s="15"/>
      <c r="F70" s="15">
        <f t="shared" si="5"/>
        <v>980928.68902412022</v>
      </c>
      <c r="G70" s="11">
        <f t="shared" si="6"/>
        <v>10928.68902412022</v>
      </c>
    </row>
    <row r="71" spans="1:7" x14ac:dyDescent="0.25">
      <c r="A71" s="168">
        <v>45040</v>
      </c>
      <c r="B71" s="15">
        <f t="shared" si="7"/>
        <v>980928.68902412022</v>
      </c>
      <c r="C71" s="15">
        <f t="shared" si="4"/>
        <v>235.69536555718443</v>
      </c>
      <c r="D71" s="15"/>
      <c r="E71" s="15"/>
      <c r="F71" s="15">
        <f t="shared" si="5"/>
        <v>981164.38438967743</v>
      </c>
      <c r="G71" s="11">
        <f t="shared" si="6"/>
        <v>11164.384389677434</v>
      </c>
    </row>
    <row r="72" spans="1:7" x14ac:dyDescent="0.25">
      <c r="A72" s="168">
        <v>45041</v>
      </c>
      <c r="B72" s="15">
        <f t="shared" si="7"/>
        <v>981164.38438967743</v>
      </c>
      <c r="C72" s="15">
        <f t="shared" si="4"/>
        <v>235.75199791585308</v>
      </c>
      <c r="D72" s="15"/>
      <c r="E72" s="15"/>
      <c r="F72" s="15">
        <f t="shared" si="5"/>
        <v>981400.13638759323</v>
      </c>
      <c r="G72" s="11">
        <f t="shared" si="6"/>
        <v>11400.136387593229</v>
      </c>
    </row>
    <row r="73" spans="1:7" x14ac:dyDescent="0.25">
      <c r="A73" s="168">
        <v>45042</v>
      </c>
      <c r="B73" s="15">
        <f t="shared" si="7"/>
        <v>981400.13638759323</v>
      </c>
      <c r="C73" s="15">
        <f t="shared" si="4"/>
        <v>235.80864388201894</v>
      </c>
      <c r="D73" s="15"/>
      <c r="E73" s="15"/>
      <c r="F73" s="15">
        <f t="shared" si="5"/>
        <v>981635.94503147528</v>
      </c>
      <c r="G73" s="11">
        <f t="shared" si="6"/>
        <v>11635.945031475276</v>
      </c>
    </row>
    <row r="74" spans="1:7" x14ac:dyDescent="0.25">
      <c r="A74" s="168">
        <v>45043</v>
      </c>
      <c r="B74" s="15">
        <f t="shared" si="7"/>
        <v>981635.94503147528</v>
      </c>
      <c r="C74" s="15">
        <f t="shared" si="4"/>
        <v>235.86530345895173</v>
      </c>
      <c r="D74" s="15"/>
      <c r="E74" s="15"/>
      <c r="F74" s="15">
        <f t="shared" si="5"/>
        <v>981871.81033493427</v>
      </c>
      <c r="G74" s="11">
        <f t="shared" si="6"/>
        <v>11871.810334934271</v>
      </c>
    </row>
    <row r="75" spans="1:7" x14ac:dyDescent="0.25">
      <c r="A75" s="168">
        <v>45044</v>
      </c>
      <c r="B75" s="15">
        <f t="shared" si="7"/>
        <v>981871.81033493427</v>
      </c>
      <c r="C75" s="15">
        <f t="shared" si="4"/>
        <v>235.9219766499217</v>
      </c>
      <c r="D75" s="15"/>
      <c r="E75" s="15"/>
      <c r="F75" s="15">
        <f t="shared" si="5"/>
        <v>982107.73231158417</v>
      </c>
      <c r="G75" s="11">
        <f t="shared" si="6"/>
        <v>12107.732311584172</v>
      </c>
    </row>
    <row r="76" spans="1:7" x14ac:dyDescent="0.25">
      <c r="A76" s="168">
        <v>45045</v>
      </c>
      <c r="B76" s="15">
        <f t="shared" si="7"/>
        <v>982107.73231158417</v>
      </c>
      <c r="C76" s="15">
        <f t="shared" si="4"/>
        <v>235.97866345820012</v>
      </c>
      <c r="D76" s="15"/>
      <c r="E76" s="15"/>
      <c r="F76" s="15">
        <f t="shared" si="5"/>
        <v>982343.71097504243</v>
      </c>
      <c r="G76" s="11">
        <f t="shared" si="6"/>
        <v>12343.710975042428</v>
      </c>
    </row>
    <row r="77" spans="1:7" x14ac:dyDescent="0.25">
      <c r="A77" s="168">
        <v>45046</v>
      </c>
      <c r="B77" s="15">
        <f t="shared" si="7"/>
        <v>982343.71097504243</v>
      </c>
      <c r="C77" s="15">
        <f t="shared" si="4"/>
        <v>236.03536388705882</v>
      </c>
      <c r="D77" s="15"/>
      <c r="E77" s="15"/>
      <c r="F77" s="15">
        <f t="shared" si="5"/>
        <v>982579.74633892952</v>
      </c>
      <c r="G77" s="11">
        <f t="shared" si="6"/>
        <v>12579.746338929515</v>
      </c>
    </row>
    <row r="78" spans="1:7" x14ac:dyDescent="0.25">
      <c r="A78" s="168">
        <v>45047</v>
      </c>
      <c r="B78" s="15">
        <f t="shared" si="7"/>
        <v>982579.74633892952</v>
      </c>
      <c r="C78" s="15">
        <f t="shared" si="4"/>
        <v>236.0920779397706</v>
      </c>
      <c r="D78" s="15"/>
      <c r="E78" s="15"/>
      <c r="F78" s="15">
        <f t="shared" si="5"/>
        <v>982815.83841686929</v>
      </c>
      <c r="G78" s="11">
        <f t="shared" si="6"/>
        <v>12815.838416869286</v>
      </c>
    </row>
    <row r="79" spans="1:7" x14ac:dyDescent="0.25">
      <c r="A79" s="168">
        <v>45048</v>
      </c>
      <c r="B79" s="15">
        <f t="shared" si="7"/>
        <v>982815.83841686929</v>
      </c>
      <c r="C79" s="15">
        <f t="shared" si="4"/>
        <v>236.14880561960888</v>
      </c>
      <c r="D79" s="15"/>
      <c r="E79" s="15"/>
      <c r="F79" s="15">
        <f t="shared" si="5"/>
        <v>983051.98722248885</v>
      </c>
      <c r="G79" s="11">
        <f t="shared" si="6"/>
        <v>13051.987222488853</v>
      </c>
    </row>
    <row r="80" spans="1:7" x14ac:dyDescent="0.25">
      <c r="A80" s="168">
        <v>45049</v>
      </c>
      <c r="B80" s="15">
        <f t="shared" si="7"/>
        <v>983051.98722248885</v>
      </c>
      <c r="C80" s="15">
        <f t="shared" si="4"/>
        <v>236.20554692984803</v>
      </c>
      <c r="D80" s="15"/>
      <c r="E80" s="15"/>
      <c r="F80" s="15">
        <f t="shared" si="5"/>
        <v>983288.1927694187</v>
      </c>
      <c r="G80" s="11">
        <f t="shared" si="6"/>
        <v>13288.192769418703</v>
      </c>
    </row>
    <row r="81" spans="1:7" x14ac:dyDescent="0.25">
      <c r="A81" s="168">
        <v>45050</v>
      </c>
      <c r="B81" s="15">
        <f t="shared" si="7"/>
        <v>983288.1927694187</v>
      </c>
      <c r="C81" s="15">
        <f t="shared" si="4"/>
        <v>236.26230187376308</v>
      </c>
      <c r="D81" s="15"/>
      <c r="E81" s="15"/>
      <c r="F81" s="15">
        <f t="shared" si="5"/>
        <v>983524.45507129247</v>
      </c>
      <c r="G81" s="11">
        <f t="shared" si="6"/>
        <v>13524.455071292468</v>
      </c>
    </row>
    <row r="82" spans="1:7" x14ac:dyDescent="0.25">
      <c r="A82" s="168">
        <v>45051</v>
      </c>
      <c r="B82" s="15">
        <f t="shared" si="7"/>
        <v>983524.45507129247</v>
      </c>
      <c r="C82" s="15">
        <f t="shared" si="4"/>
        <v>236.31907045463001</v>
      </c>
      <c r="D82" s="15"/>
      <c r="E82" s="15"/>
      <c r="F82" s="15">
        <f t="shared" si="5"/>
        <v>983760.77414174716</v>
      </c>
      <c r="G82" s="11">
        <f t="shared" si="6"/>
        <v>13760.774141747155</v>
      </c>
    </row>
    <row r="83" spans="1:7" x14ac:dyDescent="0.25">
      <c r="A83" s="168">
        <v>45052</v>
      </c>
      <c r="B83" s="15">
        <f t="shared" si="7"/>
        <v>983760.77414174716</v>
      </c>
      <c r="C83" s="15">
        <f t="shared" si="4"/>
        <v>236.37585267572535</v>
      </c>
      <c r="D83" s="15"/>
      <c r="E83" s="15"/>
      <c r="F83" s="15">
        <f t="shared" si="5"/>
        <v>983997.14999442291</v>
      </c>
      <c r="G83" s="11">
        <f t="shared" si="6"/>
        <v>13997.149994422914</v>
      </c>
    </row>
    <row r="84" spans="1:7" x14ac:dyDescent="0.25">
      <c r="A84" s="168">
        <v>45053</v>
      </c>
      <c r="B84" s="15">
        <f t="shared" si="7"/>
        <v>983997.14999442291</v>
      </c>
      <c r="C84" s="15">
        <f t="shared" si="4"/>
        <v>236.4326485403266</v>
      </c>
      <c r="D84" s="15"/>
      <c r="E84" s="15"/>
      <c r="F84" s="15">
        <f t="shared" si="5"/>
        <v>984233.58264296327</v>
      </c>
      <c r="G84" s="11">
        <f t="shared" si="6"/>
        <v>14233.582642963273</v>
      </c>
    </row>
    <row r="85" spans="1:7" x14ac:dyDescent="0.25">
      <c r="A85" s="168">
        <v>45054</v>
      </c>
      <c r="B85" s="15">
        <f t="shared" si="7"/>
        <v>984233.58264296327</v>
      </c>
      <c r="C85" s="15">
        <f t="shared" si="4"/>
        <v>236.48945805171201</v>
      </c>
      <c r="D85" s="15"/>
      <c r="E85" s="15"/>
      <c r="F85" s="15">
        <f t="shared" si="5"/>
        <v>984470.07210101502</v>
      </c>
      <c r="G85" s="11">
        <f t="shared" si="6"/>
        <v>14470.072101015016</v>
      </c>
    </row>
    <row r="86" spans="1:7" x14ac:dyDescent="0.25">
      <c r="A86" s="168">
        <v>45055</v>
      </c>
      <c r="B86" s="15">
        <f t="shared" si="7"/>
        <v>984470.07210101502</v>
      </c>
      <c r="C86" s="15">
        <f t="shared" si="4"/>
        <v>236.54628121316054</v>
      </c>
      <c r="D86" s="15"/>
      <c r="E86" s="15"/>
      <c r="F86" s="15">
        <f t="shared" si="5"/>
        <v>984706.61838222819</v>
      </c>
      <c r="G86" s="11">
        <f t="shared" si="6"/>
        <v>14706.618382228189</v>
      </c>
    </row>
    <row r="87" spans="1:7" x14ac:dyDescent="0.25">
      <c r="A87" s="168">
        <v>45056</v>
      </c>
      <c r="B87" s="15">
        <f t="shared" si="7"/>
        <v>984706.61838222819</v>
      </c>
      <c r="C87" s="15">
        <f t="shared" si="4"/>
        <v>236.60311802795209</v>
      </c>
      <c r="D87" s="15"/>
      <c r="E87" s="15"/>
      <c r="F87" s="15">
        <f t="shared" si="5"/>
        <v>984943.2215002561</v>
      </c>
      <c r="G87" s="11">
        <f t="shared" si="6"/>
        <v>14943.221500256099</v>
      </c>
    </row>
    <row r="88" spans="1:7" x14ac:dyDescent="0.25">
      <c r="A88" s="168">
        <v>45057</v>
      </c>
      <c r="B88" s="15">
        <f t="shared" si="7"/>
        <v>984943.2215002561</v>
      </c>
      <c r="C88" s="15">
        <f t="shared" si="4"/>
        <v>236.65996849936712</v>
      </c>
      <c r="D88" s="15"/>
      <c r="E88" s="15"/>
      <c r="F88" s="15">
        <f t="shared" si="5"/>
        <v>985179.88146875543</v>
      </c>
      <c r="G88" s="11">
        <f t="shared" si="6"/>
        <v>15179.881468755426</v>
      </c>
    </row>
    <row r="89" spans="1:7" x14ac:dyDescent="0.25">
      <c r="A89" s="168">
        <v>45058</v>
      </c>
      <c r="B89" s="15">
        <f t="shared" si="7"/>
        <v>985179.88146875543</v>
      </c>
      <c r="C89" s="15">
        <f t="shared" si="4"/>
        <v>236.71683263068709</v>
      </c>
      <c r="D89" s="15"/>
      <c r="E89" s="15"/>
      <c r="F89" s="15">
        <f t="shared" si="5"/>
        <v>985416.59830138611</v>
      </c>
      <c r="G89" s="11">
        <f t="shared" si="6"/>
        <v>15416.598301386111</v>
      </c>
    </row>
    <row r="90" spans="1:7" x14ac:dyDescent="0.25">
      <c r="A90" s="168">
        <v>45059</v>
      </c>
      <c r="B90" s="15">
        <f t="shared" si="7"/>
        <v>985416.59830138611</v>
      </c>
      <c r="C90" s="15">
        <f t="shared" si="4"/>
        <v>236.7737104251942</v>
      </c>
      <c r="D90" s="15"/>
      <c r="E90" s="15"/>
      <c r="F90" s="15">
        <f t="shared" si="5"/>
        <v>985653.37201181136</v>
      </c>
      <c r="G90" s="11">
        <f t="shared" si="6"/>
        <v>15653.372011811356</v>
      </c>
    </row>
    <row r="91" spans="1:7" x14ac:dyDescent="0.25">
      <c r="A91" s="168">
        <v>45060</v>
      </c>
      <c r="B91" s="15">
        <f t="shared" si="7"/>
        <v>985653.37201181136</v>
      </c>
      <c r="C91" s="15">
        <f t="shared" si="4"/>
        <v>236.83060188617134</v>
      </c>
      <c r="D91" s="15"/>
      <c r="E91" s="15"/>
      <c r="F91" s="15">
        <f t="shared" si="5"/>
        <v>985890.2026136975</v>
      </c>
      <c r="G91" s="11">
        <f t="shared" si="6"/>
        <v>15890.202613697504</v>
      </c>
    </row>
    <row r="92" spans="1:7" x14ac:dyDescent="0.25">
      <c r="A92" s="168">
        <v>45061</v>
      </c>
      <c r="B92" s="15">
        <f t="shared" si="7"/>
        <v>985890.2026136975</v>
      </c>
      <c r="C92" s="15">
        <f t="shared" si="4"/>
        <v>236.88750701690233</v>
      </c>
      <c r="D92" s="15"/>
      <c r="E92" s="15"/>
      <c r="F92" s="15">
        <f t="shared" si="5"/>
        <v>986127.09012071439</v>
      </c>
      <c r="G92" s="11">
        <f t="shared" si="6"/>
        <v>16127.090120714391</v>
      </c>
    </row>
    <row r="93" spans="1:7" x14ac:dyDescent="0.25">
      <c r="A93" s="168">
        <v>45062</v>
      </c>
      <c r="B93" s="15">
        <f t="shared" si="7"/>
        <v>986127.09012071439</v>
      </c>
      <c r="C93" s="15">
        <f t="shared" si="4"/>
        <v>236.94442582067165</v>
      </c>
      <c r="D93" s="15"/>
      <c r="E93" s="15"/>
      <c r="F93" s="15">
        <f t="shared" si="5"/>
        <v>986364.03454653511</v>
      </c>
      <c r="G93" s="11">
        <f t="shared" si="6"/>
        <v>16364.034546535113</v>
      </c>
    </row>
    <row r="94" spans="1:7" x14ac:dyDescent="0.25">
      <c r="A94" s="168">
        <v>45063</v>
      </c>
      <c r="B94" s="15">
        <f t="shared" si="7"/>
        <v>986364.03454653511</v>
      </c>
      <c r="C94" s="15">
        <f t="shared" si="4"/>
        <v>237.00135830076468</v>
      </c>
      <c r="D94" s="15"/>
      <c r="E94" s="15"/>
      <c r="F94" s="15">
        <f t="shared" si="5"/>
        <v>986601.03590483591</v>
      </c>
      <c r="G94" s="11">
        <f t="shared" si="6"/>
        <v>16601.03590483591</v>
      </c>
    </row>
    <row r="95" spans="1:7" x14ac:dyDescent="0.25">
      <c r="A95" s="168">
        <v>45064</v>
      </c>
      <c r="B95" s="15">
        <f t="shared" si="7"/>
        <v>986601.03590483591</v>
      </c>
      <c r="C95" s="15">
        <f t="shared" si="4"/>
        <v>237.05830446046753</v>
      </c>
      <c r="D95" s="15"/>
      <c r="E95" s="15"/>
      <c r="F95" s="15">
        <f t="shared" si="5"/>
        <v>986838.0942092964</v>
      </c>
      <c r="G95" s="11">
        <f t="shared" si="6"/>
        <v>16838.094209296396</v>
      </c>
    </row>
    <row r="96" spans="1:7" x14ac:dyDescent="0.25">
      <c r="A96" s="168">
        <v>45065</v>
      </c>
      <c r="B96" s="15">
        <f t="shared" si="7"/>
        <v>986838.0942092964</v>
      </c>
      <c r="C96" s="15">
        <f t="shared" si="4"/>
        <v>237.11526430306708</v>
      </c>
      <c r="D96" s="15"/>
      <c r="E96" s="15"/>
      <c r="F96" s="15">
        <f t="shared" si="5"/>
        <v>987075.20947359945</v>
      </c>
      <c r="G96" s="11">
        <f t="shared" si="6"/>
        <v>17075.209473599447</v>
      </c>
    </row>
    <row r="97" spans="1:7" x14ac:dyDescent="0.25">
      <c r="A97" s="168">
        <v>45066</v>
      </c>
      <c r="B97" s="15">
        <f t="shared" si="7"/>
        <v>987075.20947359945</v>
      </c>
      <c r="C97" s="15">
        <f t="shared" si="4"/>
        <v>237.17223783185099</v>
      </c>
      <c r="D97" s="15"/>
      <c r="E97" s="15"/>
      <c r="F97" s="15">
        <f t="shared" si="5"/>
        <v>987312.38171143131</v>
      </c>
      <c r="G97" s="11">
        <f t="shared" si="6"/>
        <v>17312.381711431313</v>
      </c>
    </row>
    <row r="98" spans="1:7" x14ac:dyDescent="0.25">
      <c r="A98" s="168">
        <v>45067</v>
      </c>
      <c r="B98" s="15">
        <f t="shared" si="7"/>
        <v>987312.38171143131</v>
      </c>
      <c r="C98" s="15">
        <f t="shared" si="4"/>
        <v>237.22922505010783</v>
      </c>
      <c r="D98" s="15"/>
      <c r="E98" s="15"/>
      <c r="F98" s="15">
        <f t="shared" si="5"/>
        <v>987549.61093648139</v>
      </c>
      <c r="G98" s="11">
        <f t="shared" si="6"/>
        <v>17549.610936481389</v>
      </c>
    </row>
    <row r="99" spans="1:7" x14ac:dyDescent="0.25">
      <c r="A99" s="168">
        <v>45068</v>
      </c>
      <c r="B99" s="15">
        <f t="shared" si="7"/>
        <v>987549.61093648139</v>
      </c>
      <c r="C99" s="15">
        <f t="shared" si="4"/>
        <v>237.2862259611268</v>
      </c>
      <c r="D99" s="15"/>
      <c r="E99" s="15"/>
      <c r="F99" s="15">
        <f t="shared" si="5"/>
        <v>987786.89716244256</v>
      </c>
      <c r="G99" s="11">
        <f t="shared" si="6"/>
        <v>17786.897162442561</v>
      </c>
    </row>
    <row r="100" spans="1:7" x14ac:dyDescent="0.25">
      <c r="A100" s="168">
        <v>45069</v>
      </c>
      <c r="B100" s="15">
        <f t="shared" si="7"/>
        <v>987786.89716244256</v>
      </c>
      <c r="C100" s="15">
        <f t="shared" si="4"/>
        <v>237.34324056819801</v>
      </c>
      <c r="D100" s="15"/>
      <c r="E100" s="15"/>
      <c r="F100" s="15">
        <f t="shared" si="5"/>
        <v>988024.24040301074</v>
      </c>
      <c r="G100" s="11">
        <f t="shared" si="6"/>
        <v>18024.240403010743</v>
      </c>
    </row>
    <row r="101" spans="1:7" x14ac:dyDescent="0.25">
      <c r="A101" s="168">
        <v>45070</v>
      </c>
      <c r="B101" s="15">
        <f t="shared" si="7"/>
        <v>988024.24040301074</v>
      </c>
      <c r="C101" s="15">
        <f t="shared" si="4"/>
        <v>237.40026887461232</v>
      </c>
      <c r="D101" s="15"/>
      <c r="E101" s="15"/>
      <c r="F101" s="15">
        <f t="shared" si="5"/>
        <v>988261.64067188534</v>
      </c>
      <c r="G101" s="11">
        <f t="shared" si="6"/>
        <v>18261.64067188534</v>
      </c>
    </row>
    <row r="102" spans="1:7" x14ac:dyDescent="0.25">
      <c r="A102" s="168">
        <v>45071</v>
      </c>
      <c r="B102" s="15">
        <f t="shared" si="7"/>
        <v>988261.64067188534</v>
      </c>
      <c r="C102" s="15">
        <f t="shared" si="4"/>
        <v>237.45731088366136</v>
      </c>
      <c r="D102" s="15"/>
      <c r="E102" s="15"/>
      <c r="F102" s="15">
        <f t="shared" si="5"/>
        <v>988499.09798276902</v>
      </c>
      <c r="G102" s="11">
        <f t="shared" si="6"/>
        <v>18499.097982769017</v>
      </c>
    </row>
    <row r="103" spans="1:7" x14ac:dyDescent="0.25">
      <c r="A103" s="168">
        <v>45072</v>
      </c>
      <c r="B103" s="15">
        <f t="shared" si="7"/>
        <v>988499.09798276902</v>
      </c>
      <c r="C103" s="15">
        <f t="shared" si="4"/>
        <v>237.51436659863757</v>
      </c>
      <c r="D103" s="15"/>
      <c r="E103" s="15"/>
      <c r="F103" s="15">
        <f t="shared" si="5"/>
        <v>988736.6123493677</v>
      </c>
      <c r="G103" s="11">
        <f t="shared" si="6"/>
        <v>18736.612349367701</v>
      </c>
    </row>
    <row r="104" spans="1:7" x14ac:dyDescent="0.25">
      <c r="A104" s="168">
        <v>45073</v>
      </c>
      <c r="B104" s="15">
        <f t="shared" si="7"/>
        <v>988736.6123493677</v>
      </c>
      <c r="C104" s="15">
        <f t="shared" si="4"/>
        <v>237.57143602283418</v>
      </c>
      <c r="D104" s="15"/>
      <c r="E104" s="15"/>
      <c r="F104" s="15">
        <f t="shared" si="5"/>
        <v>988974.18378539057</v>
      </c>
      <c r="G104" s="11">
        <f t="shared" si="6"/>
        <v>18974.183785390574</v>
      </c>
    </row>
    <row r="105" spans="1:7" x14ac:dyDescent="0.25">
      <c r="A105" s="168">
        <v>45074</v>
      </c>
      <c r="B105" s="15">
        <f t="shared" si="7"/>
        <v>988974.18378539057</v>
      </c>
      <c r="C105" s="15">
        <f t="shared" si="4"/>
        <v>237.62851915954525</v>
      </c>
      <c r="D105" s="15"/>
      <c r="E105" s="15"/>
      <c r="F105" s="15">
        <f t="shared" si="5"/>
        <v>989211.81230455008</v>
      </c>
      <c r="G105" s="11">
        <f t="shared" si="6"/>
        <v>19211.812304550083</v>
      </c>
    </row>
    <row r="106" spans="1:7" x14ac:dyDescent="0.25">
      <c r="A106" s="168">
        <v>45075</v>
      </c>
      <c r="B106" s="15">
        <f t="shared" si="7"/>
        <v>989211.81230455008</v>
      </c>
      <c r="C106" s="15">
        <f t="shared" si="4"/>
        <v>237.68561601206551</v>
      </c>
      <c r="D106" s="15"/>
      <c r="E106" s="15"/>
      <c r="F106" s="15">
        <f t="shared" si="5"/>
        <v>989449.49792056216</v>
      </c>
      <c r="G106" s="11">
        <f t="shared" si="6"/>
        <v>19449.497920562164</v>
      </c>
    </row>
    <row r="107" spans="1:7" x14ac:dyDescent="0.25">
      <c r="A107" s="168">
        <v>45076</v>
      </c>
      <c r="B107" s="15">
        <f t="shared" si="7"/>
        <v>989449.49792056216</v>
      </c>
      <c r="C107" s="15">
        <f t="shared" si="4"/>
        <v>237.74272658369065</v>
      </c>
      <c r="D107" s="15"/>
      <c r="E107" s="15"/>
      <c r="F107" s="15">
        <f t="shared" si="5"/>
        <v>989687.2406471459</v>
      </c>
      <c r="G107" s="11">
        <f t="shared" si="6"/>
        <v>19687.240647145896</v>
      </c>
    </row>
    <row r="108" spans="1:7" x14ac:dyDescent="0.25">
      <c r="A108" s="168">
        <v>45077</v>
      </c>
      <c r="B108" s="15">
        <f t="shared" si="7"/>
        <v>989687.2406471459</v>
      </c>
      <c r="C108" s="15">
        <f t="shared" si="4"/>
        <v>237.79985087771703</v>
      </c>
      <c r="D108" s="15"/>
      <c r="E108" s="15"/>
      <c r="F108" s="15">
        <f t="shared" si="5"/>
        <v>989925.04049802362</v>
      </c>
      <c r="G108" s="11">
        <f t="shared" si="6"/>
        <v>19925.04049802362</v>
      </c>
    </row>
    <row r="109" spans="1:7" x14ac:dyDescent="0.25">
      <c r="A109" s="168">
        <v>45078</v>
      </c>
      <c r="B109" s="15">
        <f t="shared" si="7"/>
        <v>989925.04049802362</v>
      </c>
      <c r="C109" s="15">
        <f t="shared" si="4"/>
        <v>237.85698889744179</v>
      </c>
      <c r="D109" s="15"/>
      <c r="E109" s="15"/>
      <c r="F109" s="15">
        <f t="shared" si="5"/>
        <v>990162.89748692105</v>
      </c>
      <c r="G109" s="11">
        <f t="shared" si="6"/>
        <v>20162.897486921051</v>
      </c>
    </row>
    <row r="110" spans="1:7" x14ac:dyDescent="0.25">
      <c r="A110" s="168">
        <v>45079</v>
      </c>
      <c r="B110" s="15">
        <f t="shared" si="7"/>
        <v>990162.89748692105</v>
      </c>
      <c r="C110" s="15">
        <f t="shared" si="4"/>
        <v>237.91414064616296</v>
      </c>
      <c r="D110" s="15"/>
      <c r="E110" s="15"/>
      <c r="F110" s="15">
        <f t="shared" si="5"/>
        <v>990400.81162756716</v>
      </c>
      <c r="G110" s="11">
        <f t="shared" si="6"/>
        <v>20400.811627567164</v>
      </c>
    </row>
    <row r="111" spans="1:7" x14ac:dyDescent="0.25">
      <c r="A111" s="168">
        <v>45080</v>
      </c>
      <c r="B111" s="15">
        <f t="shared" si="7"/>
        <v>990400.81162756716</v>
      </c>
      <c r="C111" s="15">
        <f t="shared" si="4"/>
        <v>237.97130612717936</v>
      </c>
      <c r="D111" s="15"/>
      <c r="E111" s="15"/>
      <c r="F111" s="15">
        <f t="shared" si="5"/>
        <v>990638.78293369431</v>
      </c>
      <c r="G111" s="11">
        <f t="shared" si="6"/>
        <v>20638.78293369431</v>
      </c>
    </row>
    <row r="112" spans="1:7" x14ac:dyDescent="0.25">
      <c r="A112" s="168">
        <v>45081</v>
      </c>
      <c r="B112" s="15">
        <f t="shared" si="7"/>
        <v>990638.78293369431</v>
      </c>
      <c r="C112" s="15">
        <f t="shared" si="4"/>
        <v>238.02848534379046</v>
      </c>
      <c r="D112" s="15"/>
      <c r="E112" s="15"/>
      <c r="F112" s="15">
        <f t="shared" si="5"/>
        <v>990876.8114190381</v>
      </c>
      <c r="G112" s="11">
        <f t="shared" si="6"/>
        <v>20876.811419038102</v>
      </c>
    </row>
    <row r="113" spans="1:7" x14ac:dyDescent="0.25">
      <c r="A113" s="168">
        <v>45082</v>
      </c>
      <c r="B113" s="15">
        <f t="shared" si="7"/>
        <v>990876.8114190381</v>
      </c>
      <c r="C113" s="15">
        <f t="shared" si="4"/>
        <v>238.08567829929666</v>
      </c>
      <c r="D113" s="15"/>
      <c r="E113" s="15"/>
      <c r="F113" s="15">
        <f t="shared" si="5"/>
        <v>991114.89709733741</v>
      </c>
      <c r="G113" s="11">
        <f t="shared" si="6"/>
        <v>21114.897097337409</v>
      </c>
    </row>
    <row r="114" spans="1:7" x14ac:dyDescent="0.25">
      <c r="A114" s="168">
        <v>45083</v>
      </c>
      <c r="B114" s="15">
        <f t="shared" si="7"/>
        <v>991114.89709733741</v>
      </c>
      <c r="C114" s="15">
        <f t="shared" si="4"/>
        <v>238.14288499699916</v>
      </c>
      <c r="D114" s="15"/>
      <c r="E114" s="15"/>
      <c r="F114" s="15">
        <f t="shared" si="5"/>
        <v>991353.03998233436</v>
      </c>
      <c r="G114" s="11">
        <f t="shared" si="6"/>
        <v>21353.039982334361</v>
      </c>
    </row>
    <row r="115" spans="1:7" x14ac:dyDescent="0.25">
      <c r="A115" s="168">
        <v>45084</v>
      </c>
      <c r="B115" s="15">
        <f t="shared" si="7"/>
        <v>991353.03998233436</v>
      </c>
      <c r="C115" s="15">
        <f t="shared" si="4"/>
        <v>238.20010544019979</v>
      </c>
      <c r="D115" s="15"/>
      <c r="E115" s="15"/>
      <c r="F115" s="15">
        <f t="shared" si="5"/>
        <v>991591.24008777458</v>
      </c>
      <c r="G115" s="11">
        <f t="shared" si="6"/>
        <v>21591.240087774582</v>
      </c>
    </row>
    <row r="116" spans="1:7" x14ac:dyDescent="0.25">
      <c r="A116" s="168">
        <v>45085</v>
      </c>
      <c r="B116" s="15">
        <f t="shared" si="7"/>
        <v>991591.24008777458</v>
      </c>
      <c r="C116" s="15">
        <f t="shared" si="4"/>
        <v>238.25733963220142</v>
      </c>
      <c r="D116" s="15"/>
      <c r="E116" s="15"/>
      <c r="F116" s="15">
        <f t="shared" si="5"/>
        <v>991829.49742740684</v>
      </c>
      <c r="G116" s="11">
        <f t="shared" si="6"/>
        <v>21829.497427406837</v>
      </c>
    </row>
    <row r="117" spans="1:7" x14ac:dyDescent="0.25">
      <c r="A117" s="168">
        <v>45086</v>
      </c>
      <c r="B117" s="15">
        <f t="shared" si="7"/>
        <v>991829.49742740684</v>
      </c>
      <c r="C117" s="15">
        <f t="shared" si="4"/>
        <v>238.3145875763075</v>
      </c>
      <c r="D117" s="15"/>
      <c r="E117" s="15"/>
      <c r="F117" s="15">
        <f t="shared" si="5"/>
        <v>992067.81201498315</v>
      </c>
      <c r="G117" s="11">
        <f t="shared" si="6"/>
        <v>22067.812014983152</v>
      </c>
    </row>
    <row r="118" spans="1:7" x14ac:dyDescent="0.25">
      <c r="A118" s="168">
        <v>45087</v>
      </c>
      <c r="B118" s="15">
        <f t="shared" si="7"/>
        <v>992067.81201498315</v>
      </c>
      <c r="C118" s="15">
        <f t="shared" si="4"/>
        <v>238.37184927582234</v>
      </c>
      <c r="D118" s="15"/>
      <c r="E118" s="15"/>
      <c r="F118" s="15">
        <f t="shared" si="5"/>
        <v>992306.18386425893</v>
      </c>
      <c r="G118" s="11">
        <f t="shared" si="6"/>
        <v>22306.183864258928</v>
      </c>
    </row>
    <row r="119" spans="1:7" x14ac:dyDescent="0.25">
      <c r="A119" s="168">
        <v>45088</v>
      </c>
      <c r="B119" s="15">
        <f t="shared" si="7"/>
        <v>992306.18386425893</v>
      </c>
      <c r="C119" s="15">
        <f t="shared" si="4"/>
        <v>238.4291247340511</v>
      </c>
      <c r="D119" s="15"/>
      <c r="E119" s="15"/>
      <c r="F119" s="15">
        <f t="shared" si="5"/>
        <v>992544.61298899294</v>
      </c>
      <c r="G119" s="11">
        <f t="shared" si="6"/>
        <v>22544.612988992943</v>
      </c>
    </row>
    <row r="120" spans="1:7" x14ac:dyDescent="0.25">
      <c r="A120" s="168">
        <v>45089</v>
      </c>
      <c r="B120" s="15">
        <f t="shared" si="7"/>
        <v>992544.61298899294</v>
      </c>
      <c r="C120" s="15">
        <f t="shared" si="4"/>
        <v>238.48641395429971</v>
      </c>
      <c r="D120" s="15"/>
      <c r="E120" s="15"/>
      <c r="F120" s="15">
        <f t="shared" si="5"/>
        <v>992783.09940294723</v>
      </c>
      <c r="G120" s="11">
        <f t="shared" si="6"/>
        <v>22783.099402947235</v>
      </c>
    </row>
    <row r="121" spans="1:7" x14ac:dyDescent="0.25">
      <c r="A121" s="168">
        <v>45090</v>
      </c>
      <c r="B121" s="15">
        <f t="shared" si="7"/>
        <v>992783.09940294723</v>
      </c>
      <c r="C121" s="15">
        <f t="shared" si="4"/>
        <v>238.54371693987483</v>
      </c>
      <c r="D121" s="15"/>
      <c r="E121" s="15"/>
      <c r="F121" s="15">
        <f t="shared" si="5"/>
        <v>993021.6431198871</v>
      </c>
      <c r="G121" s="11">
        <f t="shared" si="6"/>
        <v>23021.6431198871</v>
      </c>
    </row>
    <row r="122" spans="1:7" x14ac:dyDescent="0.25">
      <c r="A122" s="168">
        <v>45091</v>
      </c>
      <c r="B122" s="15">
        <f t="shared" si="7"/>
        <v>993021.6431198871</v>
      </c>
      <c r="C122" s="15">
        <f t="shared" si="4"/>
        <v>238.60103369408401</v>
      </c>
      <c r="D122" s="15"/>
      <c r="E122" s="15"/>
      <c r="F122" s="15">
        <f t="shared" si="5"/>
        <v>993260.24415358121</v>
      </c>
      <c r="G122" s="11">
        <f t="shared" si="6"/>
        <v>23260.24415358121</v>
      </c>
    </row>
    <row r="123" spans="1:7" x14ac:dyDescent="0.25">
      <c r="A123" s="168">
        <v>45092</v>
      </c>
      <c r="B123" s="15">
        <f t="shared" si="7"/>
        <v>993260.24415358121</v>
      </c>
      <c r="C123" s="15">
        <f t="shared" si="4"/>
        <v>238.65836422023548</v>
      </c>
      <c r="D123" s="15"/>
      <c r="E123" s="15"/>
      <c r="F123" s="15">
        <f t="shared" si="5"/>
        <v>993498.9025178015</v>
      </c>
      <c r="G123" s="11">
        <f t="shared" si="6"/>
        <v>23498.9025178015</v>
      </c>
    </row>
    <row r="124" spans="1:7" x14ac:dyDescent="0.25">
      <c r="A124" s="168">
        <v>45093</v>
      </c>
      <c r="B124" s="15">
        <f t="shared" si="7"/>
        <v>993498.9025178015</v>
      </c>
      <c r="C124" s="15">
        <f t="shared" si="4"/>
        <v>238.71570852163842</v>
      </c>
      <c r="D124" s="15"/>
      <c r="E124" s="15"/>
      <c r="F124" s="15">
        <f t="shared" si="5"/>
        <v>993737.61822632316</v>
      </c>
      <c r="G124" s="11">
        <f t="shared" si="6"/>
        <v>23737.61822632316</v>
      </c>
    </row>
    <row r="125" spans="1:7" x14ac:dyDescent="0.25">
      <c r="A125" s="168">
        <v>45094</v>
      </c>
      <c r="B125" s="15">
        <f t="shared" si="7"/>
        <v>993737.61822632316</v>
      </c>
      <c r="C125" s="15">
        <f t="shared" si="4"/>
        <v>238.77306660160266</v>
      </c>
      <c r="D125" s="15"/>
      <c r="E125" s="15"/>
      <c r="F125" s="15">
        <f t="shared" si="5"/>
        <v>993976.39129292476</v>
      </c>
      <c r="G125" s="11">
        <f t="shared" si="6"/>
        <v>23976.39129292476</v>
      </c>
    </row>
    <row r="126" spans="1:7" x14ac:dyDescent="0.25">
      <c r="A126" s="168">
        <v>45095</v>
      </c>
      <c r="B126" s="15">
        <f t="shared" si="7"/>
        <v>993976.39129292476</v>
      </c>
      <c r="C126" s="15">
        <f t="shared" si="4"/>
        <v>238.83043846343887</v>
      </c>
      <c r="D126" s="15"/>
      <c r="E126" s="15"/>
      <c r="F126" s="15">
        <f t="shared" si="5"/>
        <v>994215.22173138824</v>
      </c>
      <c r="G126" s="11">
        <f t="shared" si="6"/>
        <v>24215.221731388243</v>
      </c>
    </row>
    <row r="127" spans="1:7" x14ac:dyDescent="0.25">
      <c r="A127" s="168">
        <v>45096</v>
      </c>
      <c r="B127" s="15">
        <f t="shared" si="7"/>
        <v>994215.22173138824</v>
      </c>
      <c r="C127" s="15">
        <f t="shared" si="4"/>
        <v>238.88782411045855</v>
      </c>
      <c r="D127" s="15"/>
      <c r="E127" s="15"/>
      <c r="F127" s="15">
        <f t="shared" si="5"/>
        <v>994454.1095554987</v>
      </c>
      <c r="G127" s="11">
        <f t="shared" si="6"/>
        <v>24454.109555498697</v>
      </c>
    </row>
    <row r="128" spans="1:7" x14ac:dyDescent="0.25">
      <c r="A128" s="168">
        <v>45097</v>
      </c>
      <c r="B128" s="15">
        <f t="shared" si="7"/>
        <v>994454.1095554987</v>
      </c>
      <c r="C128" s="15">
        <f t="shared" si="4"/>
        <v>238.94522354597402</v>
      </c>
      <c r="D128" s="15"/>
      <c r="E128" s="15"/>
      <c r="F128" s="15">
        <f t="shared" si="5"/>
        <v>994693.0547790447</v>
      </c>
      <c r="G128" s="11">
        <f t="shared" si="6"/>
        <v>24693.054779044702</v>
      </c>
    </row>
    <row r="129" spans="1:7" x14ac:dyDescent="0.25">
      <c r="A129" s="168">
        <v>45098</v>
      </c>
      <c r="B129" s="15">
        <f t="shared" si="7"/>
        <v>994693.0547790447</v>
      </c>
      <c r="C129" s="15">
        <f t="shared" si="4"/>
        <v>239.00263677329824</v>
      </c>
      <c r="D129" s="15"/>
      <c r="E129" s="15"/>
      <c r="F129" s="15">
        <f t="shared" si="5"/>
        <v>994932.05741581798</v>
      </c>
      <c r="G129" s="11">
        <f t="shared" si="6"/>
        <v>24932.057415817981</v>
      </c>
    </row>
    <row r="130" spans="1:7" x14ac:dyDescent="0.25">
      <c r="A130" s="168">
        <v>45099</v>
      </c>
      <c r="B130" s="15">
        <f t="shared" si="7"/>
        <v>994932.05741581798</v>
      </c>
      <c r="C130" s="15">
        <f t="shared" si="4"/>
        <v>239.06006379574518</v>
      </c>
      <c r="D130" s="15"/>
      <c r="E130" s="15"/>
      <c r="F130" s="15">
        <f t="shared" si="5"/>
        <v>995171.11747961375</v>
      </c>
      <c r="G130" s="11">
        <f t="shared" si="6"/>
        <v>25171.117479613749</v>
      </c>
    </row>
    <row r="131" spans="1:7" x14ac:dyDescent="0.25">
      <c r="A131" s="168">
        <v>45100</v>
      </c>
      <c r="B131" s="15">
        <f t="shared" si="7"/>
        <v>995171.11747961375</v>
      </c>
      <c r="C131" s="15">
        <f t="shared" si="4"/>
        <v>239.11750461662945</v>
      </c>
      <c r="D131" s="15"/>
      <c r="E131" s="15"/>
      <c r="F131" s="15">
        <f t="shared" si="5"/>
        <v>995410.23498423037</v>
      </c>
      <c r="G131" s="11">
        <f t="shared" si="6"/>
        <v>25410.234984230367</v>
      </c>
    </row>
    <row r="132" spans="1:7" x14ac:dyDescent="0.25">
      <c r="A132" s="168">
        <v>45101</v>
      </c>
      <c r="B132" s="15">
        <f t="shared" si="7"/>
        <v>995410.23498423037</v>
      </c>
      <c r="C132" s="15">
        <f t="shared" ref="C132:C169" si="8">B132*$C$1/36000</f>
        <v>239.17495923926646</v>
      </c>
      <c r="D132" s="15"/>
      <c r="E132" s="15"/>
      <c r="F132" s="15">
        <f t="shared" ref="F132:F169" si="9">B132+C132+D132+E132</f>
        <v>995649.40994346968</v>
      </c>
      <c r="G132" s="11">
        <f t="shared" ref="G132:G169" si="10">F132-$B$3</f>
        <v>25649.409943469684</v>
      </c>
    </row>
    <row r="133" spans="1:7" x14ac:dyDescent="0.25">
      <c r="A133" s="168">
        <v>45102</v>
      </c>
      <c r="B133" s="15">
        <f t="shared" ref="B133:B169" si="11">F132</f>
        <v>995649.40994346968</v>
      </c>
      <c r="C133" s="15">
        <f t="shared" si="8"/>
        <v>239.2324276669726</v>
      </c>
      <c r="D133" s="15"/>
      <c r="E133" s="15"/>
      <c r="F133" s="15">
        <f t="shared" si="9"/>
        <v>995888.6423711367</v>
      </c>
      <c r="G133" s="11">
        <f t="shared" si="10"/>
        <v>25888.642371136695</v>
      </c>
    </row>
    <row r="134" spans="1:7" x14ac:dyDescent="0.25">
      <c r="A134" s="168">
        <v>45103</v>
      </c>
      <c r="B134" s="15">
        <f t="shared" si="11"/>
        <v>995888.6423711367</v>
      </c>
      <c r="C134" s="15">
        <f t="shared" si="8"/>
        <v>239.2899099030648</v>
      </c>
      <c r="D134" s="15"/>
      <c r="E134" s="15"/>
      <c r="F134" s="15">
        <f t="shared" si="9"/>
        <v>996127.93228103977</v>
      </c>
      <c r="G134" s="11">
        <f t="shared" si="10"/>
        <v>26127.932281039772</v>
      </c>
    </row>
    <row r="135" spans="1:7" x14ac:dyDescent="0.25">
      <c r="A135" s="168">
        <v>45104</v>
      </c>
      <c r="B135" s="15">
        <f t="shared" si="11"/>
        <v>996127.93228103977</v>
      </c>
      <c r="C135" s="15">
        <f t="shared" si="8"/>
        <v>239.34740595086095</v>
      </c>
      <c r="D135" s="15"/>
      <c r="E135" s="15"/>
      <c r="F135" s="15">
        <f t="shared" si="9"/>
        <v>996367.27968699066</v>
      </c>
      <c r="G135" s="11">
        <f t="shared" si="10"/>
        <v>26367.27968699066</v>
      </c>
    </row>
    <row r="136" spans="1:7" x14ac:dyDescent="0.25">
      <c r="A136" s="168">
        <v>45105</v>
      </c>
      <c r="B136" s="15">
        <f t="shared" si="11"/>
        <v>996367.27968699066</v>
      </c>
      <c r="C136" s="15">
        <f t="shared" si="8"/>
        <v>239.40491581367971</v>
      </c>
      <c r="D136" s="15"/>
      <c r="E136" s="15"/>
      <c r="F136" s="15">
        <f t="shared" si="9"/>
        <v>996606.68460280437</v>
      </c>
      <c r="G136" s="11">
        <f t="shared" si="10"/>
        <v>26606.684602804366</v>
      </c>
    </row>
    <row r="137" spans="1:7" x14ac:dyDescent="0.25">
      <c r="A137" s="168">
        <v>45106</v>
      </c>
      <c r="B137" s="15">
        <f t="shared" si="11"/>
        <v>996606.68460280437</v>
      </c>
      <c r="C137" s="15">
        <f t="shared" si="8"/>
        <v>239.46243949484048</v>
      </c>
      <c r="D137" s="15"/>
      <c r="E137" s="15"/>
      <c r="F137" s="15">
        <f t="shared" si="9"/>
        <v>996846.14704229916</v>
      </c>
      <c r="G137" s="11">
        <f t="shared" si="10"/>
        <v>26846.147042299155</v>
      </c>
    </row>
    <row r="138" spans="1:7" x14ac:dyDescent="0.25">
      <c r="A138" s="168">
        <v>45107</v>
      </c>
      <c r="B138" s="15">
        <f t="shared" si="11"/>
        <v>996846.14704229916</v>
      </c>
      <c r="C138" s="15">
        <f t="shared" si="8"/>
        <v>239.51997699766358</v>
      </c>
      <c r="D138" s="15"/>
      <c r="E138" s="15"/>
      <c r="F138" s="15">
        <f t="shared" si="9"/>
        <v>997085.66701929679</v>
      </c>
      <c r="G138" s="11">
        <f t="shared" si="10"/>
        <v>27085.667019296787</v>
      </c>
    </row>
    <row r="139" spans="1:7" x14ac:dyDescent="0.25">
      <c r="A139" s="168">
        <v>45108</v>
      </c>
      <c r="B139" s="15">
        <f t="shared" si="11"/>
        <v>997085.66701929679</v>
      </c>
      <c r="C139" s="15">
        <f t="shared" si="8"/>
        <v>239.57752832546996</v>
      </c>
      <c r="D139" s="15"/>
      <c r="E139" s="15"/>
      <c r="F139" s="15">
        <f t="shared" si="9"/>
        <v>997325.24454762228</v>
      </c>
      <c r="G139" s="11">
        <f t="shared" si="10"/>
        <v>27325.244547622278</v>
      </c>
    </row>
    <row r="140" spans="1:7" x14ac:dyDescent="0.25">
      <c r="A140" s="168">
        <v>45109</v>
      </c>
      <c r="B140" s="15">
        <f t="shared" si="11"/>
        <v>997325.24454762228</v>
      </c>
      <c r="C140" s="15">
        <f t="shared" si="8"/>
        <v>239.63509348158146</v>
      </c>
      <c r="D140" s="15"/>
      <c r="E140" s="15"/>
      <c r="F140" s="15">
        <f t="shared" si="9"/>
        <v>997564.87964110391</v>
      </c>
      <c r="G140" s="11">
        <f t="shared" si="10"/>
        <v>27564.879641103907</v>
      </c>
    </row>
    <row r="141" spans="1:7" x14ac:dyDescent="0.25">
      <c r="A141" s="168">
        <v>45110</v>
      </c>
      <c r="B141" s="15">
        <f t="shared" si="11"/>
        <v>997564.87964110391</v>
      </c>
      <c r="C141" s="15">
        <f t="shared" si="8"/>
        <v>239.6926724693208</v>
      </c>
      <c r="D141" s="15"/>
      <c r="E141" s="15"/>
      <c r="F141" s="15">
        <f t="shared" si="9"/>
        <v>997804.57231357321</v>
      </c>
      <c r="G141" s="11">
        <f t="shared" si="10"/>
        <v>27804.572313573211</v>
      </c>
    </row>
    <row r="142" spans="1:7" x14ac:dyDescent="0.25">
      <c r="A142" s="168">
        <v>45111</v>
      </c>
      <c r="B142" s="15">
        <f t="shared" si="11"/>
        <v>997804.57231357321</v>
      </c>
      <c r="C142" s="15">
        <f t="shared" si="8"/>
        <v>239.75026529201136</v>
      </c>
      <c r="D142" s="15"/>
      <c r="E142" s="15"/>
      <c r="F142" s="15">
        <f t="shared" si="9"/>
        <v>998044.32257886522</v>
      </c>
      <c r="G142" s="11">
        <f t="shared" si="10"/>
        <v>28044.32257886522</v>
      </c>
    </row>
    <row r="143" spans="1:7" x14ac:dyDescent="0.25">
      <c r="A143" s="168">
        <v>45112</v>
      </c>
      <c r="B143" s="15">
        <f t="shared" si="11"/>
        <v>998044.32257886522</v>
      </c>
      <c r="C143" s="15">
        <f t="shared" si="8"/>
        <v>239.80787195297734</v>
      </c>
      <c r="D143" s="15"/>
      <c r="E143" s="15"/>
      <c r="F143" s="15">
        <f t="shared" si="9"/>
        <v>998284.13045081822</v>
      </c>
      <c r="G143" s="11">
        <f t="shared" si="10"/>
        <v>28284.130450818222</v>
      </c>
    </row>
    <row r="144" spans="1:7" x14ac:dyDescent="0.25">
      <c r="A144" s="168">
        <v>45113</v>
      </c>
      <c r="B144" s="15">
        <f t="shared" si="11"/>
        <v>998284.13045081822</v>
      </c>
      <c r="C144" s="15">
        <f t="shared" si="8"/>
        <v>239.86549245554386</v>
      </c>
      <c r="D144" s="15"/>
      <c r="E144" s="15"/>
      <c r="F144" s="15">
        <f t="shared" si="9"/>
        <v>998523.99594327377</v>
      </c>
      <c r="G144" s="11">
        <f t="shared" si="10"/>
        <v>28523.995943273767</v>
      </c>
    </row>
    <row r="145" spans="1:7" x14ac:dyDescent="0.25">
      <c r="A145" s="168">
        <v>45114</v>
      </c>
      <c r="B145" s="15">
        <f t="shared" si="11"/>
        <v>998523.99594327377</v>
      </c>
      <c r="C145" s="15">
        <f t="shared" si="8"/>
        <v>239.92312680303664</v>
      </c>
      <c r="D145" s="15"/>
      <c r="E145" s="15"/>
      <c r="F145" s="15">
        <f t="shared" si="9"/>
        <v>998763.91907007678</v>
      </c>
      <c r="G145" s="11">
        <f t="shared" si="10"/>
        <v>28763.919070076779</v>
      </c>
    </row>
    <row r="146" spans="1:7" x14ac:dyDescent="0.25">
      <c r="A146" s="168">
        <v>45115</v>
      </c>
      <c r="B146" s="15">
        <f t="shared" si="11"/>
        <v>998763.91907007678</v>
      </c>
      <c r="C146" s="15">
        <f t="shared" si="8"/>
        <v>239.98077499878235</v>
      </c>
      <c r="D146" s="15"/>
      <c r="E146" s="15"/>
      <c r="F146" s="15">
        <f t="shared" si="9"/>
        <v>999003.89984507556</v>
      </c>
      <c r="G146" s="11">
        <f t="shared" si="10"/>
        <v>29003.899845075561</v>
      </c>
    </row>
    <row r="147" spans="1:7" x14ac:dyDescent="0.25">
      <c r="A147" s="168">
        <v>45116</v>
      </c>
      <c r="B147" s="15">
        <f t="shared" si="11"/>
        <v>999003.89984507556</v>
      </c>
      <c r="C147" s="15">
        <f t="shared" si="8"/>
        <v>240.03843704610847</v>
      </c>
      <c r="D147" s="15"/>
      <c r="E147" s="15"/>
      <c r="F147" s="15">
        <f t="shared" si="9"/>
        <v>999243.93828212167</v>
      </c>
      <c r="G147" s="11">
        <f t="shared" si="10"/>
        <v>29243.938282121671</v>
      </c>
    </row>
    <row r="148" spans="1:7" x14ac:dyDescent="0.25">
      <c r="A148" s="168">
        <v>45117</v>
      </c>
      <c r="B148" s="15">
        <f t="shared" si="11"/>
        <v>999243.93828212167</v>
      </c>
      <c r="C148" s="15">
        <f t="shared" si="8"/>
        <v>240.09611294834315</v>
      </c>
      <c r="D148" s="15"/>
      <c r="E148" s="15"/>
      <c r="F148" s="15">
        <f t="shared" si="9"/>
        <v>999484.03439507005</v>
      </c>
      <c r="G148" s="11">
        <f t="shared" si="10"/>
        <v>29484.034395070048</v>
      </c>
    </row>
    <row r="149" spans="1:7" x14ac:dyDescent="0.25">
      <c r="A149" s="168">
        <v>45118</v>
      </c>
      <c r="B149" s="15">
        <f t="shared" si="11"/>
        <v>999484.03439507005</v>
      </c>
      <c r="C149" s="15">
        <f t="shared" si="8"/>
        <v>240.15380270881548</v>
      </c>
      <c r="D149" s="15"/>
      <c r="E149" s="15"/>
      <c r="F149" s="15">
        <f t="shared" si="9"/>
        <v>999724.18819777889</v>
      </c>
      <c r="G149" s="11">
        <f t="shared" si="10"/>
        <v>29724.188197778887</v>
      </c>
    </row>
    <row r="150" spans="1:7" x14ac:dyDescent="0.25">
      <c r="A150" s="168">
        <v>45119</v>
      </c>
      <c r="B150" s="15">
        <f t="shared" si="11"/>
        <v>999724.18819777889</v>
      </c>
      <c r="C150" s="15">
        <f t="shared" si="8"/>
        <v>240.2115063308552</v>
      </c>
      <c r="D150" s="15"/>
      <c r="E150" s="15"/>
      <c r="F150" s="15">
        <f t="shared" si="9"/>
        <v>999964.39970410976</v>
      </c>
      <c r="G150" s="11">
        <f t="shared" si="10"/>
        <v>29964.399704109761</v>
      </c>
    </row>
    <row r="151" spans="1:7" x14ac:dyDescent="0.25">
      <c r="A151" s="168">
        <v>45120</v>
      </c>
      <c r="B151" s="15">
        <f t="shared" si="11"/>
        <v>999964.39970410976</v>
      </c>
      <c r="C151" s="15">
        <f t="shared" si="8"/>
        <v>240.26922381779303</v>
      </c>
      <c r="D151" s="15"/>
      <c r="E151" s="15"/>
      <c r="F151" s="15">
        <f t="shared" si="9"/>
        <v>1000204.6689279275</v>
      </c>
      <c r="G151" s="11">
        <f t="shared" si="10"/>
        <v>30204.668927927501</v>
      </c>
    </row>
    <row r="152" spans="1:7" x14ac:dyDescent="0.25">
      <c r="A152" s="168">
        <v>45121</v>
      </c>
      <c r="B152" s="15">
        <f t="shared" si="11"/>
        <v>1000204.6689279275</v>
      </c>
      <c r="C152" s="15">
        <f t="shared" si="8"/>
        <v>240.3269551729604</v>
      </c>
      <c r="D152" s="15"/>
      <c r="E152" s="15"/>
      <c r="F152" s="15">
        <f t="shared" si="9"/>
        <v>1000444.9958831004</v>
      </c>
      <c r="G152" s="11">
        <f t="shared" si="10"/>
        <v>30444.995883100433</v>
      </c>
    </row>
    <row r="153" spans="1:7" x14ac:dyDescent="0.25">
      <c r="A153" s="168">
        <v>45122</v>
      </c>
      <c r="B153" s="15">
        <f t="shared" si="11"/>
        <v>1000444.9958831004</v>
      </c>
      <c r="C153" s="15">
        <f t="shared" si="8"/>
        <v>240.38470039968942</v>
      </c>
      <c r="D153" s="15"/>
      <c r="E153" s="15"/>
      <c r="F153" s="15">
        <f t="shared" si="9"/>
        <v>1000685.3805835001</v>
      </c>
      <c r="G153" s="11">
        <f t="shared" si="10"/>
        <v>30685.38058350014</v>
      </c>
    </row>
    <row r="154" spans="1:7" x14ac:dyDescent="0.25">
      <c r="A154" s="168">
        <v>45123</v>
      </c>
      <c r="B154" s="15">
        <f t="shared" si="11"/>
        <v>1000685.3805835001</v>
      </c>
      <c r="C154" s="15">
        <f t="shared" si="8"/>
        <v>240.44245950131327</v>
      </c>
      <c r="D154" s="15"/>
      <c r="E154" s="15"/>
      <c r="F154" s="15">
        <f t="shared" si="9"/>
        <v>1000925.8230430015</v>
      </c>
      <c r="G154" s="11">
        <f t="shared" si="10"/>
        <v>30925.823043001466</v>
      </c>
    </row>
    <row r="155" spans="1:7" x14ac:dyDescent="0.25">
      <c r="A155" s="168">
        <v>45124</v>
      </c>
      <c r="B155" s="15">
        <f t="shared" si="11"/>
        <v>1000925.8230430015</v>
      </c>
      <c r="C155" s="15">
        <f t="shared" si="8"/>
        <v>240.50023248116563</v>
      </c>
      <c r="D155" s="15"/>
      <c r="E155" s="15"/>
      <c r="F155" s="15">
        <f t="shared" si="9"/>
        <v>1001166.3232754826</v>
      </c>
      <c r="G155" s="11">
        <f t="shared" si="10"/>
        <v>31166.323275482631</v>
      </c>
    </row>
    <row r="156" spans="1:7" x14ac:dyDescent="0.25">
      <c r="A156" s="168">
        <v>45125</v>
      </c>
      <c r="B156" s="15">
        <f t="shared" si="11"/>
        <v>1001166.3232754826</v>
      </c>
      <c r="C156" s="15">
        <f t="shared" si="8"/>
        <v>240.55801934258128</v>
      </c>
      <c r="D156" s="15"/>
      <c r="E156" s="15"/>
      <c r="F156" s="15">
        <f t="shared" si="9"/>
        <v>1001406.8812948252</v>
      </c>
      <c r="G156" s="11">
        <f t="shared" si="10"/>
        <v>31406.881294825231</v>
      </c>
    </row>
    <row r="157" spans="1:7" x14ac:dyDescent="0.25">
      <c r="A157" s="168">
        <v>45126</v>
      </c>
      <c r="B157" s="15">
        <f t="shared" si="11"/>
        <v>1001406.8812948252</v>
      </c>
      <c r="C157" s="15">
        <f t="shared" si="8"/>
        <v>240.6158200888955</v>
      </c>
      <c r="D157" s="15"/>
      <c r="E157" s="15"/>
      <c r="F157" s="15">
        <f t="shared" si="9"/>
        <v>1001647.4971149141</v>
      </c>
      <c r="G157" s="11">
        <f t="shared" si="10"/>
        <v>31647.49711491412</v>
      </c>
    </row>
    <row r="158" spans="1:7" x14ac:dyDescent="0.25">
      <c r="A158" s="168">
        <v>45127</v>
      </c>
      <c r="B158" s="15">
        <f t="shared" si="11"/>
        <v>1001647.4971149141</v>
      </c>
      <c r="C158" s="15">
        <f t="shared" si="8"/>
        <v>240.67363472344468</v>
      </c>
      <c r="D158" s="15"/>
      <c r="E158" s="15"/>
      <c r="F158" s="15">
        <f t="shared" si="9"/>
        <v>1001888.1707496375</v>
      </c>
      <c r="G158" s="11">
        <f t="shared" si="10"/>
        <v>31888.170749637531</v>
      </c>
    </row>
    <row r="159" spans="1:7" x14ac:dyDescent="0.25">
      <c r="A159" s="168">
        <v>45128</v>
      </c>
      <c r="B159" s="15">
        <f t="shared" si="11"/>
        <v>1001888.1707496375</v>
      </c>
      <c r="C159" s="15">
        <f t="shared" si="8"/>
        <v>240.73146324956568</v>
      </c>
      <c r="D159" s="15"/>
      <c r="E159" s="15"/>
      <c r="F159" s="15">
        <f t="shared" si="9"/>
        <v>1002128.9022128871</v>
      </c>
      <c r="G159" s="11">
        <f t="shared" si="10"/>
        <v>32128.902212887071</v>
      </c>
    </row>
    <row r="160" spans="1:7" x14ac:dyDescent="0.25">
      <c r="A160" s="168">
        <v>45129</v>
      </c>
      <c r="B160" s="15">
        <f t="shared" si="11"/>
        <v>1002128.9022128871</v>
      </c>
      <c r="C160" s="15">
        <f t="shared" si="8"/>
        <v>240.78930567059649</v>
      </c>
      <c r="D160" s="15"/>
      <c r="E160" s="15"/>
      <c r="F160" s="15">
        <f t="shared" si="9"/>
        <v>1002369.6915185577</v>
      </c>
      <c r="G160" s="11">
        <f t="shared" si="10"/>
        <v>32369.691518557724</v>
      </c>
    </row>
    <row r="161" spans="1:7" x14ac:dyDescent="0.25">
      <c r="A161" s="168">
        <v>45130</v>
      </c>
      <c r="B161" s="15">
        <f t="shared" si="11"/>
        <v>1002369.6915185577</v>
      </c>
      <c r="C161" s="15">
        <f t="shared" si="8"/>
        <v>240.8471619898757</v>
      </c>
      <c r="D161" s="15"/>
      <c r="E161" s="15"/>
      <c r="F161" s="15">
        <f t="shared" si="9"/>
        <v>1002610.5386805476</v>
      </c>
      <c r="G161" s="11">
        <f t="shared" si="10"/>
        <v>32610.538680547616</v>
      </c>
    </row>
    <row r="162" spans="1:7" x14ac:dyDescent="0.25">
      <c r="A162" s="168">
        <v>45131</v>
      </c>
      <c r="B162" s="15">
        <f t="shared" si="11"/>
        <v>1002610.5386805476</v>
      </c>
      <c r="C162" s="15">
        <f t="shared" si="8"/>
        <v>240.90503221074269</v>
      </c>
      <c r="D162" s="15"/>
      <c r="E162" s="15"/>
      <c r="F162" s="15">
        <f t="shared" si="9"/>
        <v>1002851.4437127584</v>
      </c>
      <c r="G162" s="11">
        <f t="shared" si="10"/>
        <v>32851.443712758366</v>
      </c>
    </row>
    <row r="163" spans="1:7" x14ac:dyDescent="0.25">
      <c r="A163" s="168">
        <v>45132</v>
      </c>
      <c r="B163" s="15">
        <f t="shared" si="11"/>
        <v>1002851.4437127584</v>
      </c>
      <c r="C163" s="15">
        <f t="shared" si="8"/>
        <v>240.9629163365378</v>
      </c>
      <c r="D163" s="15"/>
      <c r="E163" s="15"/>
      <c r="F163" s="15">
        <f t="shared" si="9"/>
        <v>1003092.4066290949</v>
      </c>
      <c r="G163" s="11">
        <f t="shared" si="10"/>
        <v>33092.406629094854</v>
      </c>
    </row>
    <row r="164" spans="1:7" x14ac:dyDescent="0.25">
      <c r="A164" s="168">
        <v>45133</v>
      </c>
      <c r="B164" s="15">
        <f t="shared" si="11"/>
        <v>1003092.4066290949</v>
      </c>
      <c r="C164" s="15">
        <f t="shared" si="8"/>
        <v>241.02081437060195</v>
      </c>
      <c r="D164" s="15"/>
      <c r="E164" s="15"/>
      <c r="F164" s="15">
        <f t="shared" si="9"/>
        <v>1003333.4274434655</v>
      </c>
      <c r="G164" s="11">
        <f t="shared" si="10"/>
        <v>33333.427443465451</v>
      </c>
    </row>
    <row r="165" spans="1:7" x14ac:dyDescent="0.25">
      <c r="A165" s="168">
        <v>45134</v>
      </c>
      <c r="B165" s="15">
        <f t="shared" si="11"/>
        <v>1003333.4274434655</v>
      </c>
      <c r="C165" s="15">
        <f t="shared" si="8"/>
        <v>241.07872631627714</v>
      </c>
      <c r="D165" s="15"/>
      <c r="E165" s="15"/>
      <c r="F165" s="15">
        <f t="shared" si="9"/>
        <v>1003574.5061697817</v>
      </c>
      <c r="G165" s="11">
        <f t="shared" si="10"/>
        <v>33574.506169781671</v>
      </c>
    </row>
    <row r="166" spans="1:7" x14ac:dyDescent="0.25">
      <c r="A166" s="168">
        <v>45135</v>
      </c>
      <c r="B166" s="15">
        <f t="shared" si="11"/>
        <v>1003574.5061697817</v>
      </c>
      <c r="C166" s="15">
        <f t="shared" si="8"/>
        <v>241.1366521769059</v>
      </c>
      <c r="D166" s="15"/>
      <c r="E166" s="15"/>
      <c r="F166" s="15">
        <f t="shared" si="9"/>
        <v>1003815.6428219585</v>
      </c>
      <c r="G166" s="11">
        <f t="shared" si="10"/>
        <v>33815.642821958521</v>
      </c>
    </row>
    <row r="167" spans="1:7" x14ac:dyDescent="0.25">
      <c r="A167" s="168">
        <v>45136</v>
      </c>
      <c r="B167" s="15">
        <f t="shared" si="11"/>
        <v>1003815.6428219585</v>
      </c>
      <c r="C167" s="15">
        <f t="shared" si="8"/>
        <v>241.1945919558317</v>
      </c>
      <c r="D167" s="15"/>
      <c r="E167" s="15"/>
      <c r="F167" s="15">
        <f t="shared" si="9"/>
        <v>1004056.8374139144</v>
      </c>
      <c r="G167" s="11">
        <f t="shared" si="10"/>
        <v>34056.837413914385</v>
      </c>
    </row>
    <row r="168" spans="1:7" x14ac:dyDescent="0.25">
      <c r="A168" s="168">
        <v>45137</v>
      </c>
      <c r="B168" s="15">
        <f t="shared" si="11"/>
        <v>1004056.8374139144</v>
      </c>
      <c r="C168" s="15">
        <f t="shared" si="8"/>
        <v>241.25254565639887</v>
      </c>
      <c r="D168" s="15"/>
      <c r="E168" s="15"/>
      <c r="F168" s="15">
        <f t="shared" si="9"/>
        <v>1004298.0899595708</v>
      </c>
      <c r="G168" s="11">
        <f t="shared" si="10"/>
        <v>34298.089959570789</v>
      </c>
    </row>
    <row r="169" spans="1:7" x14ac:dyDescent="0.25">
      <c r="A169" s="168">
        <v>45138</v>
      </c>
      <c r="B169" s="15">
        <f t="shared" si="11"/>
        <v>1004298.0899595708</v>
      </c>
      <c r="C169" s="15">
        <f t="shared" si="8"/>
        <v>241.31051328195244</v>
      </c>
      <c r="D169" s="15"/>
      <c r="E169" s="15"/>
      <c r="F169" s="15">
        <f t="shared" si="9"/>
        <v>1004539.4004728528</v>
      </c>
      <c r="G169" s="11">
        <f t="shared" si="10"/>
        <v>34539.400472852751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34DE8-D5F3-4500-9C01-87EC94EFEC7C}">
  <dimension ref="A1:U25"/>
  <sheetViews>
    <sheetView workbookViewId="0">
      <selection activeCell="D7" sqref="D7:H7"/>
    </sheetView>
  </sheetViews>
  <sheetFormatPr defaultColWidth="8.7109375" defaultRowHeight="15.75" x14ac:dyDescent="0.25"/>
  <cols>
    <col min="1" max="1" width="16.28515625" style="395" bestFit="1" customWidth="1"/>
    <col min="2" max="16" width="10.42578125" style="395" customWidth="1"/>
    <col min="17" max="17" width="4.140625" style="395" customWidth="1"/>
    <col min="18" max="18" width="13.42578125" style="395" customWidth="1"/>
    <col min="19" max="16384" width="8.7109375" style="395"/>
  </cols>
  <sheetData>
    <row r="1" spans="1:21" x14ac:dyDescent="0.25">
      <c r="A1" s="398"/>
      <c r="B1" s="645" t="s">
        <v>744</v>
      </c>
      <c r="C1" s="645"/>
      <c r="D1" s="645" t="s">
        <v>314</v>
      </c>
      <c r="E1" s="645"/>
      <c r="F1" s="645"/>
      <c r="G1" s="645"/>
      <c r="H1" s="645"/>
      <c r="I1" s="646" t="s">
        <v>248</v>
      </c>
      <c r="J1" s="647"/>
      <c r="K1" s="400" t="s">
        <v>253</v>
      </c>
      <c r="L1" s="424" t="s">
        <v>745</v>
      </c>
      <c r="M1" s="648" t="s">
        <v>256</v>
      </c>
      <c r="N1" s="649"/>
      <c r="O1" s="649"/>
      <c r="P1" s="649"/>
      <c r="Q1" s="399"/>
      <c r="R1" s="401" t="s">
        <v>18</v>
      </c>
    </row>
    <row r="2" spans="1:21" x14ac:dyDescent="0.25">
      <c r="A2" s="398" t="s">
        <v>746</v>
      </c>
      <c r="B2" s="403">
        <v>1</v>
      </c>
      <c r="C2" s="404">
        <v>2</v>
      </c>
      <c r="D2" s="403">
        <v>1</v>
      </c>
      <c r="E2" s="404">
        <v>2</v>
      </c>
      <c r="F2" s="403">
        <v>3</v>
      </c>
      <c r="G2" s="404">
        <v>4</v>
      </c>
      <c r="H2" s="403">
        <v>5</v>
      </c>
      <c r="I2" s="404">
        <v>1</v>
      </c>
      <c r="J2" s="403">
        <v>2</v>
      </c>
      <c r="K2" s="404">
        <v>1</v>
      </c>
      <c r="L2" s="403">
        <v>1</v>
      </c>
      <c r="M2" s="404">
        <v>1</v>
      </c>
      <c r="N2" s="403">
        <v>2</v>
      </c>
      <c r="O2" s="404">
        <v>3</v>
      </c>
      <c r="P2" s="403">
        <v>4</v>
      </c>
      <c r="Q2" s="399"/>
      <c r="R2" s="401"/>
    </row>
    <row r="3" spans="1:21" x14ac:dyDescent="0.25">
      <c r="A3" s="394" t="s">
        <v>747</v>
      </c>
      <c r="B3" s="396">
        <f>1.17*12</f>
        <v>14.04</v>
      </c>
      <c r="C3" s="396">
        <f t="shared" ref="C3:H3" si="0">1.17*12</f>
        <v>14.04</v>
      </c>
      <c r="D3" s="396">
        <f t="shared" si="0"/>
        <v>14.04</v>
      </c>
      <c r="E3" s="396">
        <f t="shared" si="0"/>
        <v>14.04</v>
      </c>
      <c r="F3" s="396">
        <f t="shared" si="0"/>
        <v>14.04</v>
      </c>
      <c r="G3" s="396">
        <v>14.04</v>
      </c>
      <c r="H3" s="396">
        <f t="shared" si="0"/>
        <v>14.04</v>
      </c>
      <c r="I3" s="396">
        <v>15</v>
      </c>
      <c r="J3" s="396">
        <v>15.5</v>
      </c>
      <c r="K3" s="396">
        <v>11</v>
      </c>
      <c r="L3" s="396">
        <v>12</v>
      </c>
      <c r="M3" s="396">
        <v>13</v>
      </c>
      <c r="N3" s="396">
        <v>13</v>
      </c>
      <c r="O3" s="396">
        <v>13</v>
      </c>
      <c r="P3" s="396">
        <v>13</v>
      </c>
      <c r="Q3" s="397"/>
      <c r="R3" s="402"/>
    </row>
    <row r="4" spans="1:21" x14ac:dyDescent="0.25">
      <c r="A4" s="394" t="s">
        <v>748</v>
      </c>
      <c r="B4" s="396">
        <v>18</v>
      </c>
      <c r="C4" s="396">
        <v>12</v>
      </c>
      <c r="D4" s="396">
        <v>24</v>
      </c>
      <c r="E4" s="396">
        <v>24</v>
      </c>
      <c r="F4" s="396">
        <v>24</v>
      </c>
      <c r="G4" s="396">
        <v>24</v>
      </c>
      <c r="H4" s="396">
        <v>18</v>
      </c>
      <c r="I4" s="396">
        <v>18</v>
      </c>
      <c r="J4" s="396">
        <v>36</v>
      </c>
      <c r="K4" s="396">
        <v>48</v>
      </c>
      <c r="L4" s="396">
        <v>9</v>
      </c>
      <c r="M4" s="396">
        <v>24</v>
      </c>
      <c r="N4" s="396">
        <v>24</v>
      </c>
      <c r="O4" s="396">
        <v>24</v>
      </c>
      <c r="P4" s="396">
        <v>24</v>
      </c>
      <c r="Q4" s="397"/>
      <c r="R4" s="402"/>
    </row>
    <row r="5" spans="1:21" x14ac:dyDescent="0.25">
      <c r="A5" s="394" t="s">
        <v>749</v>
      </c>
      <c r="B5" s="396">
        <v>6</v>
      </c>
      <c r="C5" s="396">
        <v>6</v>
      </c>
      <c r="D5" s="396"/>
      <c r="E5" s="396"/>
      <c r="F5" s="396"/>
      <c r="G5" s="396"/>
      <c r="H5" s="396"/>
      <c r="I5" s="396"/>
      <c r="J5" s="396"/>
      <c r="K5" s="396"/>
      <c r="L5" s="396">
        <v>5</v>
      </c>
      <c r="M5" s="396"/>
      <c r="N5" s="396"/>
      <c r="O5" s="396"/>
      <c r="P5" s="396"/>
      <c r="Q5" s="397"/>
      <c r="R5" s="402"/>
    </row>
    <row r="6" spans="1:21" x14ac:dyDescent="0.25">
      <c r="A6" s="394" t="s">
        <v>750</v>
      </c>
      <c r="B6" s="396">
        <v>12</v>
      </c>
      <c r="C6" s="396">
        <v>6</v>
      </c>
      <c r="D6" s="396">
        <v>16</v>
      </c>
      <c r="E6" s="396">
        <v>17</v>
      </c>
      <c r="F6" s="396">
        <v>20</v>
      </c>
      <c r="G6" s="396">
        <v>18</v>
      </c>
      <c r="H6" s="396">
        <v>14</v>
      </c>
      <c r="I6" s="396">
        <v>0</v>
      </c>
      <c r="J6" s="396">
        <v>28</v>
      </c>
      <c r="K6" s="396">
        <v>32</v>
      </c>
      <c r="L6" s="396">
        <v>4</v>
      </c>
      <c r="M6" s="396">
        <v>10</v>
      </c>
      <c r="N6" s="396">
        <v>9</v>
      </c>
      <c r="O6" s="396">
        <v>10</v>
      </c>
      <c r="P6" s="396">
        <v>8</v>
      </c>
      <c r="Q6" s="397"/>
      <c r="R6" s="402"/>
    </row>
    <row r="7" spans="1:21" x14ac:dyDescent="0.25">
      <c r="A7" s="394" t="s">
        <v>751</v>
      </c>
      <c r="B7" s="396">
        <v>77355.56</v>
      </c>
      <c r="C7" s="396">
        <v>14063.5</v>
      </c>
      <c r="D7" s="396">
        <v>6617.56</v>
      </c>
      <c r="E7" s="396">
        <v>9499.8700000000008</v>
      </c>
      <c r="F7" s="396">
        <v>8801.58</v>
      </c>
      <c r="G7" s="396">
        <v>27439.599999999999</v>
      </c>
      <c r="H7" s="396">
        <v>12048.7</v>
      </c>
      <c r="I7" s="396">
        <v>6261.56</v>
      </c>
      <c r="J7" s="396">
        <v>126000</v>
      </c>
      <c r="K7" s="396">
        <v>441344.48</v>
      </c>
      <c r="L7" s="396">
        <v>28541.13</v>
      </c>
      <c r="M7" s="396">
        <v>6415.33</v>
      </c>
      <c r="N7" s="396">
        <v>4152.79</v>
      </c>
      <c r="O7" s="396">
        <v>2251.65</v>
      </c>
      <c r="P7" s="396">
        <v>7934.57</v>
      </c>
      <c r="Q7" s="397"/>
      <c r="R7" s="402">
        <f>SUM(B7:O7)</f>
        <v>770793.30999999994</v>
      </c>
    </row>
    <row r="8" spans="1:21" x14ac:dyDescent="0.25">
      <c r="A8" s="394" t="s">
        <v>752</v>
      </c>
      <c r="B8" s="396">
        <v>7214</v>
      </c>
      <c r="C8" s="396">
        <v>2534</v>
      </c>
      <c r="D8" s="396">
        <v>480</v>
      </c>
      <c r="E8" s="396">
        <v>649</v>
      </c>
      <c r="F8" s="396">
        <v>567</v>
      </c>
      <c r="G8" s="396">
        <v>567</v>
      </c>
      <c r="H8" s="396">
        <v>962</v>
      </c>
      <c r="I8" s="396">
        <v>6261.56</v>
      </c>
      <c r="J8" s="396">
        <v>5500</v>
      </c>
      <c r="K8" s="396">
        <v>16700</v>
      </c>
      <c r="L8" s="396">
        <v>7380</v>
      </c>
      <c r="M8" s="396">
        <v>842</v>
      </c>
      <c r="N8" s="396">
        <v>490</v>
      </c>
      <c r="O8" s="396">
        <v>240</v>
      </c>
      <c r="P8" s="396">
        <v>842</v>
      </c>
      <c r="Q8" s="397"/>
      <c r="R8" s="402">
        <f>SUM(B8:P8)</f>
        <v>51228.56</v>
      </c>
    </row>
    <row r="9" spans="1:21" x14ac:dyDescent="0.25">
      <c r="A9" s="394"/>
      <c r="B9" s="396"/>
      <c r="C9" s="396"/>
      <c r="D9" s="396"/>
      <c r="E9" s="396"/>
      <c r="F9" s="396"/>
      <c r="G9" s="396"/>
      <c r="H9" s="396"/>
      <c r="I9" s="396"/>
      <c r="J9" s="396"/>
      <c r="K9" s="396"/>
      <c r="L9" s="396"/>
      <c r="M9" s="396"/>
      <c r="N9" s="396"/>
      <c r="O9" s="396"/>
      <c r="P9" s="396"/>
      <c r="Q9" s="397"/>
      <c r="R9" s="402"/>
      <c r="T9" s="395">
        <v>2457</v>
      </c>
      <c r="U9" s="395">
        <f>T9*9</f>
        <v>22113</v>
      </c>
    </row>
    <row r="10" spans="1:21" x14ac:dyDescent="0.25">
      <c r="A10" s="394" t="s">
        <v>753</v>
      </c>
      <c r="B10" s="396"/>
      <c r="C10" s="396"/>
      <c r="D10" s="396"/>
      <c r="E10" s="396"/>
      <c r="F10" s="396"/>
      <c r="G10" s="396"/>
      <c r="H10" s="396"/>
      <c r="I10" s="396"/>
      <c r="J10" s="396"/>
      <c r="K10" s="396"/>
      <c r="L10" s="396">
        <f>L7*3/100</f>
        <v>856.23389999999995</v>
      </c>
      <c r="M10" s="396">
        <f>M7*3/100</f>
        <v>192.45989999999998</v>
      </c>
      <c r="N10" s="396">
        <f t="shared" ref="N10:P10" si="1">N7*3/100</f>
        <v>124.58369999999999</v>
      </c>
      <c r="O10" s="396">
        <f t="shared" si="1"/>
        <v>67.549500000000009</v>
      </c>
      <c r="P10" s="396">
        <f t="shared" si="1"/>
        <v>238.03709999999998</v>
      </c>
      <c r="Q10" s="397"/>
      <c r="R10" s="402">
        <f>SUM(B10:P10)</f>
        <v>1478.8641</v>
      </c>
    </row>
    <row r="11" spans="1:21" x14ac:dyDescent="0.25">
      <c r="A11" s="394" t="s">
        <v>254</v>
      </c>
      <c r="B11" s="396"/>
      <c r="C11" s="396"/>
      <c r="D11" s="396"/>
      <c r="E11" s="396"/>
      <c r="F11" s="396"/>
      <c r="G11" s="396"/>
      <c r="H11" s="396"/>
      <c r="I11" s="396"/>
      <c r="J11" s="396"/>
      <c r="K11" s="396"/>
      <c r="L11" s="396">
        <f>L10*18/100</f>
        <v>154.12210199999998</v>
      </c>
      <c r="M11" s="396">
        <f>M10*18/100</f>
        <v>34.642781999999997</v>
      </c>
      <c r="N11" s="396">
        <f t="shared" ref="N11:P11" si="2">N10*18/100</f>
        <v>22.425065999999998</v>
      </c>
      <c r="O11" s="396">
        <f t="shared" si="2"/>
        <v>12.158910000000001</v>
      </c>
      <c r="P11" s="396">
        <f t="shared" si="2"/>
        <v>42.84667799999999</v>
      </c>
      <c r="Q11" s="397"/>
      <c r="R11" s="402">
        <f>SUM(B11:P11)</f>
        <v>266.19553799999994</v>
      </c>
    </row>
    <row r="12" spans="1:21" x14ac:dyDescent="0.25">
      <c r="A12" s="394" t="s">
        <v>18</v>
      </c>
      <c r="B12" s="396"/>
      <c r="C12" s="396"/>
      <c r="D12" s="396"/>
      <c r="E12" s="396"/>
      <c r="F12" s="396"/>
      <c r="G12" s="396"/>
      <c r="H12" s="396"/>
      <c r="I12" s="396"/>
      <c r="J12" s="396"/>
      <c r="K12" s="396"/>
      <c r="L12" s="396">
        <f>L7+L10+L11</f>
        <v>29551.486002000001</v>
      </c>
      <c r="M12" s="396">
        <f>M11+M10+M7</f>
        <v>6642.4326819999997</v>
      </c>
      <c r="N12" s="396">
        <f t="shared" ref="N12:P12" si="3">N11+N10+N7</f>
        <v>4299.7987659999999</v>
      </c>
      <c r="O12" s="396">
        <f t="shared" si="3"/>
        <v>2331.3584100000003</v>
      </c>
      <c r="P12" s="396">
        <f t="shared" si="3"/>
        <v>8215.4537779999991</v>
      </c>
      <c r="Q12" s="397"/>
      <c r="R12" s="402">
        <f>SUM(B12:P12)</f>
        <v>51040.529638000007</v>
      </c>
    </row>
    <row r="13" spans="1:21" x14ac:dyDescent="0.25">
      <c r="A13" s="394"/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6"/>
      <c r="M13" s="396"/>
      <c r="N13" s="396"/>
      <c r="O13" s="396"/>
      <c r="P13" s="396"/>
      <c r="Q13" s="397"/>
      <c r="R13" s="396"/>
    </row>
    <row r="14" spans="1:21" x14ac:dyDescent="0.25">
      <c r="A14" s="394"/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7"/>
      <c r="R14" s="396"/>
    </row>
    <row r="15" spans="1:21" x14ac:dyDescent="0.25">
      <c r="A15" s="394"/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6"/>
      <c r="M15" s="396"/>
      <c r="N15" s="396"/>
      <c r="O15" s="396"/>
      <c r="P15" s="396"/>
      <c r="Q15" s="397"/>
      <c r="R15" s="396"/>
    </row>
    <row r="16" spans="1:21" x14ac:dyDescent="0.25">
      <c r="A16" s="394"/>
      <c r="B16" s="396"/>
      <c r="C16" s="396"/>
      <c r="D16" s="396"/>
      <c r="E16" s="396"/>
      <c r="F16" s="396"/>
      <c r="G16" s="396"/>
      <c r="H16" s="396"/>
      <c r="I16" s="396"/>
      <c r="J16" s="396"/>
      <c r="K16" s="396"/>
      <c r="L16" s="396"/>
      <c r="M16" s="396"/>
      <c r="N16" s="396"/>
      <c r="O16" s="396"/>
      <c r="P16" s="396"/>
      <c r="Q16" s="397"/>
      <c r="R16" s="396"/>
    </row>
    <row r="17" spans="1:18" x14ac:dyDescent="0.25">
      <c r="A17" s="394"/>
      <c r="B17" s="396"/>
      <c r="C17" s="396"/>
      <c r="D17" s="396"/>
      <c r="E17" s="396"/>
      <c r="F17" s="396"/>
      <c r="G17" s="396"/>
      <c r="H17" s="396"/>
      <c r="I17" s="396"/>
      <c r="J17" s="396"/>
      <c r="K17" s="396"/>
      <c r="L17" s="396"/>
      <c r="M17" s="396"/>
      <c r="N17" s="396"/>
      <c r="O17" s="396"/>
      <c r="P17" s="396"/>
      <c r="Q17" s="397"/>
      <c r="R17" s="396"/>
    </row>
    <row r="18" spans="1:18" x14ac:dyDescent="0.25">
      <c r="A18" s="394"/>
      <c r="B18" s="396"/>
      <c r="C18" s="396"/>
      <c r="D18" s="396"/>
      <c r="E18" s="396"/>
      <c r="F18" s="396"/>
      <c r="G18" s="396"/>
      <c r="H18" s="396"/>
      <c r="I18" s="396"/>
      <c r="J18" s="396"/>
      <c r="K18" s="396"/>
      <c r="L18" s="396"/>
      <c r="M18" s="396"/>
      <c r="N18" s="396"/>
      <c r="O18" s="396"/>
      <c r="P18" s="396"/>
      <c r="Q18" s="397"/>
      <c r="R18" s="396"/>
    </row>
    <row r="22" spans="1:18" x14ac:dyDescent="0.25">
      <c r="I22" s="395">
        <v>6261.56</v>
      </c>
      <c r="M22" s="397">
        <f>SUM(M7:P7)</f>
        <v>20754.339999999997</v>
      </c>
    </row>
    <row r="23" spans="1:18" x14ac:dyDescent="0.25">
      <c r="M23" s="395">
        <f>M22*3/100</f>
        <v>622.63019999999995</v>
      </c>
    </row>
    <row r="24" spans="1:18" x14ac:dyDescent="0.25">
      <c r="M24" s="395">
        <f>M23*18/100</f>
        <v>112.07343599999999</v>
      </c>
    </row>
    <row r="25" spans="1:18" x14ac:dyDescent="0.25">
      <c r="M25" s="397">
        <f>SUM(M22:M24)</f>
        <v>21489.043635999995</v>
      </c>
    </row>
  </sheetData>
  <mergeCells count="4">
    <mergeCell ref="B1:C1"/>
    <mergeCell ref="D1:H1"/>
    <mergeCell ref="I1:J1"/>
    <mergeCell ref="M1:P1"/>
  </mergeCell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63133-ED18-42CC-B5B7-6A0B59FD6E1E}">
  <dimension ref="A1:N106"/>
  <sheetViews>
    <sheetView zoomScaleNormal="100" workbookViewId="0">
      <selection activeCell="H21" sqref="H21"/>
    </sheetView>
  </sheetViews>
  <sheetFormatPr defaultColWidth="9.140625" defaultRowHeight="12" x14ac:dyDescent="0.2"/>
  <cols>
    <col min="1" max="1" width="10.5703125" style="48" bestFit="1" customWidth="1"/>
    <col min="2" max="2" width="7.42578125" style="48" bestFit="1" customWidth="1"/>
    <col min="3" max="3" width="9.140625" style="48"/>
    <col min="4" max="4" width="18.28515625" style="48" bestFit="1" customWidth="1"/>
    <col min="5" max="5" width="9.42578125" style="48" bestFit="1" customWidth="1"/>
    <col min="6" max="6" width="7.42578125" style="48" bestFit="1" customWidth="1"/>
    <col min="7" max="7" width="8.7109375" style="48" bestFit="1" customWidth="1"/>
    <col min="8" max="8" width="10.85546875" style="48" bestFit="1" customWidth="1"/>
    <col min="9" max="9" width="12" style="48" bestFit="1" customWidth="1"/>
    <col min="10" max="10" width="8.42578125" style="48" bestFit="1" customWidth="1"/>
    <col min="11" max="11" width="11.140625" style="48" bestFit="1" customWidth="1"/>
    <col min="12" max="12" width="10.28515625" style="48" bestFit="1" customWidth="1"/>
    <col min="13" max="13" width="8.42578125" style="48" bestFit="1" customWidth="1"/>
    <col min="14" max="14" width="10.85546875" style="48" bestFit="1" customWidth="1"/>
    <col min="15" max="16384" width="9.140625" style="48"/>
  </cols>
  <sheetData>
    <row r="1" spans="1:14" x14ac:dyDescent="0.2">
      <c r="A1" s="327" t="s">
        <v>754</v>
      </c>
      <c r="B1" s="10">
        <v>27000</v>
      </c>
      <c r="C1" s="86"/>
      <c r="D1" s="49" t="s">
        <v>755</v>
      </c>
      <c r="E1" s="50">
        <f>SUM(B1:B16)</f>
        <v>378000</v>
      </c>
      <c r="G1" s="650" t="s">
        <v>756</v>
      </c>
      <c r="H1" s="651"/>
      <c r="I1" s="92" t="s">
        <v>757</v>
      </c>
      <c r="J1" s="92" t="s">
        <v>758</v>
      </c>
      <c r="K1" s="92" t="s">
        <v>759</v>
      </c>
      <c r="L1" s="92" t="s">
        <v>760</v>
      </c>
      <c r="M1" s="92" t="s">
        <v>758</v>
      </c>
      <c r="N1" s="92" t="s">
        <v>759</v>
      </c>
    </row>
    <row r="2" spans="1:14" x14ac:dyDescent="0.2">
      <c r="A2" s="327" t="s">
        <v>761</v>
      </c>
      <c r="B2" s="10">
        <v>36000</v>
      </c>
      <c r="C2" s="86"/>
      <c r="G2" s="328">
        <v>41885</v>
      </c>
      <c r="H2" s="10">
        <v>80000</v>
      </c>
      <c r="I2" s="329">
        <v>2237.6520799999998</v>
      </c>
      <c r="J2" s="329">
        <v>17.875879999999999</v>
      </c>
      <c r="K2" s="329">
        <f>I2*J2</f>
        <v>40000.000063830397</v>
      </c>
      <c r="L2" s="329">
        <v>2862.8296599999999</v>
      </c>
      <c r="M2" s="329">
        <v>13.972189999999999</v>
      </c>
      <c r="N2" s="91">
        <f>M2*L2</f>
        <v>39999.999947155397</v>
      </c>
    </row>
    <row r="3" spans="1:14" x14ac:dyDescent="0.2">
      <c r="A3" s="327" t="s">
        <v>762</v>
      </c>
      <c r="B3" s="10">
        <v>36000</v>
      </c>
      <c r="C3" s="86"/>
      <c r="D3" s="49" t="s">
        <v>756</v>
      </c>
      <c r="E3" s="50">
        <f>H8</f>
        <v>285000</v>
      </c>
      <c r="F3" s="86"/>
      <c r="G3" s="328">
        <v>42317</v>
      </c>
      <c r="H3" s="10">
        <v>60000</v>
      </c>
      <c r="I3" s="329">
        <v>1504.0639799999999</v>
      </c>
      <c r="J3" s="329">
        <v>19.945959999999999</v>
      </c>
      <c r="K3" s="329">
        <f>J3*I3</f>
        <v>29999.999982520796</v>
      </c>
      <c r="L3" s="329">
        <v>2089.0099300000002</v>
      </c>
      <c r="M3" s="329">
        <v>14.295299999999999</v>
      </c>
      <c r="N3" s="91">
        <f>M3*L3</f>
        <v>29863.023652329</v>
      </c>
    </row>
    <row r="4" spans="1:14" x14ac:dyDescent="0.2">
      <c r="A4" s="327" t="s">
        <v>763</v>
      </c>
      <c r="B4" s="10">
        <v>36000</v>
      </c>
      <c r="C4" s="86"/>
      <c r="D4" s="49" t="s">
        <v>764</v>
      </c>
      <c r="E4" s="50">
        <v>72000</v>
      </c>
      <c r="G4" s="328">
        <v>42873</v>
      </c>
      <c r="H4" s="10">
        <v>70000</v>
      </c>
      <c r="I4" s="329">
        <v>1395.82592</v>
      </c>
      <c r="J4" s="329">
        <v>25.074760000000001</v>
      </c>
      <c r="K4" s="329">
        <f>J4*I4</f>
        <v>34999.9999457792</v>
      </c>
      <c r="L4" s="329">
        <v>2072.8972800000001</v>
      </c>
      <c r="M4" s="329">
        <v>16.88458</v>
      </c>
      <c r="N4" s="91">
        <f>M4*L4</f>
        <v>34999.999955942403</v>
      </c>
    </row>
    <row r="5" spans="1:14" x14ac:dyDescent="0.2">
      <c r="A5" s="327" t="s">
        <v>765</v>
      </c>
      <c r="B5" s="10">
        <v>36000</v>
      </c>
      <c r="C5" s="86"/>
      <c r="D5" s="49" t="s">
        <v>766</v>
      </c>
      <c r="E5" s="50">
        <v>121102.41</v>
      </c>
      <c r="G5" s="328">
        <v>43599</v>
      </c>
      <c r="H5" s="10">
        <v>75000</v>
      </c>
      <c r="I5" s="329">
        <v>1644.5487000000001</v>
      </c>
      <c r="J5" s="329">
        <v>27.363130000000002</v>
      </c>
      <c r="K5" s="329">
        <f>J5*I5</f>
        <v>44999.999869431005</v>
      </c>
      <c r="L5" s="329">
        <v>1592.3304900000001</v>
      </c>
      <c r="M5" s="329">
        <v>18.840309999999999</v>
      </c>
      <c r="N5" s="91">
        <f>M5*L5</f>
        <v>30000.000054051899</v>
      </c>
    </row>
    <row r="6" spans="1:14" x14ac:dyDescent="0.2">
      <c r="A6" s="327" t="s">
        <v>767</v>
      </c>
      <c r="B6" s="10">
        <v>36000</v>
      </c>
      <c r="C6" s="86"/>
      <c r="D6" s="49" t="s">
        <v>768</v>
      </c>
      <c r="E6" s="50">
        <v>81000</v>
      </c>
      <c r="F6" s="86">
        <f>E1-E3</f>
        <v>93000</v>
      </c>
      <c r="G6" s="328"/>
      <c r="H6" s="10"/>
      <c r="I6" s="329"/>
      <c r="J6" s="329"/>
      <c r="K6" s="329">
        <f>J6*I6</f>
        <v>0</v>
      </c>
      <c r="L6" s="329"/>
      <c r="M6" s="91"/>
      <c r="N6" s="91">
        <f>M6*L6</f>
        <v>0</v>
      </c>
    </row>
    <row r="7" spans="1:14" x14ac:dyDescent="0.2">
      <c r="A7" s="327" t="s">
        <v>769</v>
      </c>
      <c r="B7" s="10">
        <v>36000</v>
      </c>
      <c r="C7" s="86"/>
      <c r="D7" s="49"/>
      <c r="E7" s="50"/>
    </row>
    <row r="8" spans="1:14" ht="12.75" x14ac:dyDescent="0.2">
      <c r="A8" s="327" t="s">
        <v>770</v>
      </c>
      <c r="B8" s="10">
        <v>36000</v>
      </c>
      <c r="C8" s="86"/>
      <c r="D8" s="330" t="s">
        <v>771</v>
      </c>
      <c r="E8" s="323">
        <f>SUM(E3:E5)-E1</f>
        <v>100102.41000000003</v>
      </c>
      <c r="G8" s="49" t="s">
        <v>18</v>
      </c>
      <c r="H8" s="50">
        <f>SUM(H2:H6)</f>
        <v>285000</v>
      </c>
    </row>
    <row r="9" spans="1:14" x14ac:dyDescent="0.2">
      <c r="A9" s="327" t="s">
        <v>772</v>
      </c>
      <c r="B9" s="10">
        <v>36000</v>
      </c>
      <c r="C9" s="86"/>
      <c r="H9" s="49" t="s">
        <v>773</v>
      </c>
      <c r="I9" s="331">
        <f>SUM(I2:I6)</f>
        <v>6782.0906800000002</v>
      </c>
      <c r="J9" s="91"/>
      <c r="K9" s="91"/>
      <c r="L9" s="331">
        <f>SUM(L2:L6)</f>
        <v>8617.0673599999991</v>
      </c>
    </row>
    <row r="10" spans="1:14" x14ac:dyDescent="0.2">
      <c r="A10" s="327" t="s">
        <v>774</v>
      </c>
      <c r="B10" s="10">
        <v>36000</v>
      </c>
    </row>
    <row r="11" spans="1:14" x14ac:dyDescent="0.2">
      <c r="A11" s="327" t="s">
        <v>775</v>
      </c>
      <c r="B11" s="10">
        <v>27000</v>
      </c>
      <c r="D11" s="332" t="s">
        <v>776</v>
      </c>
      <c r="E11" s="333">
        <f>E3+E5</f>
        <v>406102.41000000003</v>
      </c>
      <c r="H11" s="49" t="s">
        <v>759</v>
      </c>
      <c r="I11" s="331">
        <f>(I9*E13)+(L9*E14)</f>
        <v>406839.97324130754</v>
      </c>
    </row>
    <row r="12" spans="1:14" x14ac:dyDescent="0.2">
      <c r="A12" s="327" t="s">
        <v>777</v>
      </c>
      <c r="B12" s="10"/>
    </row>
    <row r="13" spans="1:14" x14ac:dyDescent="0.2">
      <c r="A13" s="327" t="s">
        <v>778</v>
      </c>
      <c r="B13" s="10"/>
      <c r="D13" s="652" t="s">
        <v>779</v>
      </c>
      <c r="E13" s="331">
        <v>35.101469999999999</v>
      </c>
      <c r="G13" s="653" t="s">
        <v>780</v>
      </c>
      <c r="H13" s="653"/>
      <c r="I13" s="334">
        <f>I11-E3</f>
        <v>121839.97324130754</v>
      </c>
    </row>
    <row r="14" spans="1:14" x14ac:dyDescent="0.2">
      <c r="A14" s="327" t="s">
        <v>781</v>
      </c>
      <c r="B14" s="10"/>
      <c r="D14" s="652"/>
      <c r="E14" s="331">
        <v>19.586549999999999</v>
      </c>
    </row>
    <row r="15" spans="1:14" x14ac:dyDescent="0.2">
      <c r="A15" s="327" t="s">
        <v>782</v>
      </c>
      <c r="B15" s="10"/>
    </row>
    <row r="16" spans="1:14" x14ac:dyDescent="0.2">
      <c r="A16" s="327" t="s">
        <v>783</v>
      </c>
      <c r="B16" s="10"/>
    </row>
    <row r="17" spans="1:2" x14ac:dyDescent="0.2">
      <c r="A17" s="327" t="s">
        <v>784</v>
      </c>
      <c r="B17" s="10"/>
    </row>
    <row r="18" spans="1:2" x14ac:dyDescent="0.2">
      <c r="A18" s="327" t="s">
        <v>785</v>
      </c>
      <c r="B18" s="10"/>
    </row>
    <row r="19" spans="1:2" x14ac:dyDescent="0.2">
      <c r="A19" s="327" t="s">
        <v>786</v>
      </c>
      <c r="B19" s="10"/>
    </row>
    <row r="20" spans="1:2" x14ac:dyDescent="0.2">
      <c r="A20" s="327" t="s">
        <v>787</v>
      </c>
      <c r="B20" s="10"/>
    </row>
    <row r="21" spans="1:2" x14ac:dyDescent="0.2">
      <c r="A21" s="335"/>
    </row>
    <row r="22" spans="1:2" x14ac:dyDescent="0.2">
      <c r="A22" s="335"/>
    </row>
    <row r="23" spans="1:2" x14ac:dyDescent="0.2">
      <c r="A23" s="335"/>
    </row>
    <row r="24" spans="1:2" x14ac:dyDescent="0.2">
      <c r="A24" s="335"/>
    </row>
    <row r="25" spans="1:2" x14ac:dyDescent="0.2">
      <c r="A25" s="335"/>
    </row>
    <row r="26" spans="1:2" x14ac:dyDescent="0.2">
      <c r="A26" s="335"/>
    </row>
    <row r="27" spans="1:2" x14ac:dyDescent="0.2">
      <c r="A27" s="335"/>
    </row>
    <row r="28" spans="1:2" x14ac:dyDescent="0.2">
      <c r="A28" s="335"/>
    </row>
    <row r="29" spans="1:2" x14ac:dyDescent="0.2">
      <c r="A29" s="335"/>
    </row>
    <row r="30" spans="1:2" x14ac:dyDescent="0.2">
      <c r="A30" s="335"/>
    </row>
    <row r="31" spans="1:2" x14ac:dyDescent="0.2">
      <c r="A31" s="335"/>
    </row>
    <row r="32" spans="1:2" x14ac:dyDescent="0.2">
      <c r="A32" s="335"/>
    </row>
    <row r="33" spans="1:1" x14ac:dyDescent="0.2">
      <c r="A33" s="335"/>
    </row>
    <row r="34" spans="1:1" x14ac:dyDescent="0.2">
      <c r="A34" s="335"/>
    </row>
    <row r="35" spans="1:1" x14ac:dyDescent="0.2">
      <c r="A35" s="335"/>
    </row>
    <row r="36" spans="1:1" x14ac:dyDescent="0.2">
      <c r="A36" s="335"/>
    </row>
    <row r="37" spans="1:1" x14ac:dyDescent="0.2">
      <c r="A37" s="335"/>
    </row>
    <row r="38" spans="1:1" x14ac:dyDescent="0.2">
      <c r="A38" s="335"/>
    </row>
    <row r="39" spans="1:1" x14ac:dyDescent="0.2">
      <c r="A39" s="335"/>
    </row>
    <row r="40" spans="1:1" x14ac:dyDescent="0.2">
      <c r="A40" s="335"/>
    </row>
    <row r="41" spans="1:1" x14ac:dyDescent="0.2">
      <c r="A41" s="335"/>
    </row>
    <row r="42" spans="1:1" x14ac:dyDescent="0.2">
      <c r="A42" s="335"/>
    </row>
    <row r="43" spans="1:1" x14ac:dyDescent="0.2">
      <c r="A43" s="335"/>
    </row>
    <row r="44" spans="1:1" x14ac:dyDescent="0.2">
      <c r="A44" s="335"/>
    </row>
    <row r="45" spans="1:1" x14ac:dyDescent="0.2">
      <c r="A45" s="335"/>
    </row>
    <row r="46" spans="1:1" x14ac:dyDescent="0.2">
      <c r="A46" s="335"/>
    </row>
    <row r="47" spans="1:1" x14ac:dyDescent="0.2">
      <c r="A47" s="335"/>
    </row>
    <row r="48" spans="1:1" x14ac:dyDescent="0.2">
      <c r="A48" s="335"/>
    </row>
    <row r="49" spans="1:1" x14ac:dyDescent="0.2">
      <c r="A49" s="335"/>
    </row>
    <row r="50" spans="1:1" x14ac:dyDescent="0.2">
      <c r="A50" s="335"/>
    </row>
    <row r="51" spans="1:1" x14ac:dyDescent="0.2">
      <c r="A51" s="335"/>
    </row>
    <row r="52" spans="1:1" x14ac:dyDescent="0.2">
      <c r="A52" s="335"/>
    </row>
    <row r="53" spans="1:1" x14ac:dyDescent="0.2">
      <c r="A53" s="335"/>
    </row>
    <row r="54" spans="1:1" x14ac:dyDescent="0.2">
      <c r="A54" s="335"/>
    </row>
    <row r="55" spans="1:1" x14ac:dyDescent="0.2">
      <c r="A55" s="335"/>
    </row>
    <row r="56" spans="1:1" x14ac:dyDescent="0.2">
      <c r="A56" s="335"/>
    </row>
    <row r="57" spans="1:1" x14ac:dyDescent="0.2">
      <c r="A57" s="335"/>
    </row>
    <row r="58" spans="1:1" x14ac:dyDescent="0.2">
      <c r="A58" s="335"/>
    </row>
    <row r="59" spans="1:1" x14ac:dyDescent="0.2">
      <c r="A59" s="335"/>
    </row>
    <row r="60" spans="1:1" x14ac:dyDescent="0.2">
      <c r="A60" s="335"/>
    </row>
    <row r="61" spans="1:1" x14ac:dyDescent="0.2">
      <c r="A61" s="335"/>
    </row>
    <row r="62" spans="1:1" x14ac:dyDescent="0.2">
      <c r="A62" s="335"/>
    </row>
    <row r="63" spans="1:1" x14ac:dyDescent="0.2">
      <c r="A63" s="335"/>
    </row>
    <row r="64" spans="1:1" x14ac:dyDescent="0.2">
      <c r="A64" s="335"/>
    </row>
    <row r="65" spans="1:1" x14ac:dyDescent="0.2">
      <c r="A65" s="335"/>
    </row>
    <row r="66" spans="1:1" x14ac:dyDescent="0.2">
      <c r="A66" s="335"/>
    </row>
    <row r="67" spans="1:1" x14ac:dyDescent="0.2">
      <c r="A67" s="335"/>
    </row>
    <row r="68" spans="1:1" x14ac:dyDescent="0.2">
      <c r="A68" s="335"/>
    </row>
    <row r="69" spans="1:1" x14ac:dyDescent="0.2">
      <c r="A69" s="335"/>
    </row>
    <row r="70" spans="1:1" x14ac:dyDescent="0.2">
      <c r="A70" s="335"/>
    </row>
    <row r="71" spans="1:1" x14ac:dyDescent="0.2">
      <c r="A71" s="335"/>
    </row>
    <row r="72" spans="1:1" x14ac:dyDescent="0.2">
      <c r="A72" s="335"/>
    </row>
    <row r="73" spans="1:1" x14ac:dyDescent="0.2">
      <c r="A73" s="335"/>
    </row>
    <row r="74" spans="1:1" x14ac:dyDescent="0.2">
      <c r="A74" s="335"/>
    </row>
    <row r="75" spans="1:1" x14ac:dyDescent="0.2">
      <c r="A75" s="335"/>
    </row>
    <row r="76" spans="1:1" x14ac:dyDescent="0.2">
      <c r="A76" s="335"/>
    </row>
    <row r="77" spans="1:1" x14ac:dyDescent="0.2">
      <c r="A77" s="335"/>
    </row>
    <row r="78" spans="1:1" x14ac:dyDescent="0.2">
      <c r="A78" s="335"/>
    </row>
    <row r="79" spans="1:1" x14ac:dyDescent="0.2">
      <c r="A79" s="335"/>
    </row>
    <row r="80" spans="1:1" x14ac:dyDescent="0.2">
      <c r="A80" s="335"/>
    </row>
    <row r="81" spans="1:1" x14ac:dyDescent="0.2">
      <c r="A81" s="335"/>
    </row>
    <row r="82" spans="1:1" x14ac:dyDescent="0.2">
      <c r="A82" s="335"/>
    </row>
    <row r="83" spans="1:1" x14ac:dyDescent="0.2">
      <c r="A83" s="335"/>
    </row>
    <row r="84" spans="1:1" x14ac:dyDescent="0.2">
      <c r="A84" s="335"/>
    </row>
    <row r="85" spans="1:1" x14ac:dyDescent="0.2">
      <c r="A85" s="335"/>
    </row>
    <row r="86" spans="1:1" x14ac:dyDescent="0.2">
      <c r="A86" s="335"/>
    </row>
    <row r="87" spans="1:1" x14ac:dyDescent="0.2">
      <c r="A87" s="335"/>
    </row>
    <row r="88" spans="1:1" x14ac:dyDescent="0.2">
      <c r="A88" s="335"/>
    </row>
    <row r="89" spans="1:1" x14ac:dyDescent="0.2">
      <c r="A89" s="335"/>
    </row>
    <row r="90" spans="1:1" x14ac:dyDescent="0.2">
      <c r="A90" s="335"/>
    </row>
    <row r="91" spans="1:1" x14ac:dyDescent="0.2">
      <c r="A91" s="335"/>
    </row>
    <row r="92" spans="1:1" x14ac:dyDescent="0.2">
      <c r="A92" s="335"/>
    </row>
    <row r="93" spans="1:1" x14ac:dyDescent="0.2">
      <c r="A93" s="335"/>
    </row>
    <row r="94" spans="1:1" x14ac:dyDescent="0.2">
      <c r="A94" s="335"/>
    </row>
    <row r="95" spans="1:1" x14ac:dyDescent="0.2">
      <c r="A95" s="335"/>
    </row>
    <row r="96" spans="1:1" x14ac:dyDescent="0.2">
      <c r="A96" s="335"/>
    </row>
    <row r="97" spans="1:1" x14ac:dyDescent="0.2">
      <c r="A97" s="335"/>
    </row>
    <row r="98" spans="1:1" x14ac:dyDescent="0.2">
      <c r="A98" s="335"/>
    </row>
    <row r="99" spans="1:1" x14ac:dyDescent="0.2">
      <c r="A99" s="335"/>
    </row>
    <row r="100" spans="1:1" x14ac:dyDescent="0.2">
      <c r="A100" s="335"/>
    </row>
    <row r="101" spans="1:1" x14ac:dyDescent="0.2">
      <c r="A101" s="335"/>
    </row>
    <row r="102" spans="1:1" x14ac:dyDescent="0.2">
      <c r="A102" s="335"/>
    </row>
    <row r="103" spans="1:1" x14ac:dyDescent="0.2">
      <c r="A103" s="335"/>
    </row>
    <row r="104" spans="1:1" x14ac:dyDescent="0.2">
      <c r="A104" s="335"/>
    </row>
    <row r="105" spans="1:1" x14ac:dyDescent="0.2">
      <c r="A105" s="335"/>
    </row>
    <row r="106" spans="1:1" x14ac:dyDescent="0.2">
      <c r="A106" s="335"/>
    </row>
  </sheetData>
  <mergeCells count="3">
    <mergeCell ref="G1:H1"/>
    <mergeCell ref="D13:D14"/>
    <mergeCell ref="G13:H13"/>
  </mergeCells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114F-012D-4AC1-BE7F-5D41278B528A}">
  <dimension ref="A1:U51"/>
  <sheetViews>
    <sheetView zoomScale="90" zoomScaleNormal="90" workbookViewId="0">
      <selection activeCell="G69" sqref="G69"/>
    </sheetView>
  </sheetViews>
  <sheetFormatPr defaultColWidth="9.140625" defaultRowHeight="15" x14ac:dyDescent="0.25"/>
  <cols>
    <col min="1" max="1" width="36" style="294" bestFit="1" customWidth="1"/>
    <col min="2" max="2" width="10.28515625" style="294" bestFit="1" customWidth="1"/>
    <col min="3" max="3" width="9.140625" style="294"/>
    <col min="4" max="4" width="36" style="294" bestFit="1" customWidth="1"/>
    <col min="5" max="5" width="10.28515625" style="294" bestFit="1" customWidth="1"/>
    <col min="6" max="18" width="9.140625" style="294"/>
    <col min="19" max="19" width="19.28515625" style="294" bestFit="1" customWidth="1"/>
    <col min="20" max="16384" width="9.140625" style="294"/>
  </cols>
  <sheetData>
    <row r="1" spans="1:21" x14ac:dyDescent="0.25">
      <c r="A1" s="655" t="s">
        <v>788</v>
      </c>
      <c r="B1" s="656"/>
      <c r="C1" s="293"/>
      <c r="D1" s="657" t="s">
        <v>789</v>
      </c>
      <c r="E1" s="657"/>
    </row>
    <row r="2" spans="1:21" x14ac:dyDescent="0.25">
      <c r="A2" s="295" t="s">
        <v>790</v>
      </c>
      <c r="B2" s="295">
        <v>0</v>
      </c>
      <c r="C2" s="293"/>
      <c r="D2" s="295" t="s">
        <v>791</v>
      </c>
      <c r="E2" s="295">
        <v>10000</v>
      </c>
    </row>
    <row r="3" spans="1:21" x14ac:dyDescent="0.25">
      <c r="A3" s="295" t="s">
        <v>791</v>
      </c>
      <c r="B3" s="295">
        <v>132000</v>
      </c>
      <c r="C3" s="293"/>
      <c r="D3" s="367" t="s">
        <v>792</v>
      </c>
      <c r="E3" s="295">
        <v>40000</v>
      </c>
    </row>
    <row r="4" spans="1:21" x14ac:dyDescent="0.25">
      <c r="A4" s="295" t="s">
        <v>793</v>
      </c>
      <c r="B4" s="295">
        <v>8500</v>
      </c>
      <c r="C4" s="293"/>
      <c r="D4" s="295" t="s">
        <v>794</v>
      </c>
      <c r="E4" s="295">
        <v>49434</v>
      </c>
    </row>
    <row r="5" spans="1:21" x14ac:dyDescent="0.25">
      <c r="A5" s="295" t="s">
        <v>795</v>
      </c>
      <c r="B5" s="295">
        <v>14500</v>
      </c>
      <c r="C5" s="293"/>
      <c r="D5" s="295" t="s">
        <v>796</v>
      </c>
      <c r="E5" s="295">
        <v>566</v>
      </c>
    </row>
    <row r="6" spans="1:21" x14ac:dyDescent="0.25">
      <c r="A6" s="295" t="s">
        <v>797</v>
      </c>
      <c r="B6" s="295">
        <v>3000</v>
      </c>
      <c r="C6" s="293"/>
      <c r="D6" s="295" t="s">
        <v>798</v>
      </c>
      <c r="E6" s="295">
        <v>50000</v>
      </c>
    </row>
    <row r="7" spans="1:21" x14ac:dyDescent="0.25">
      <c r="A7" s="295" t="s">
        <v>799</v>
      </c>
      <c r="B7" s="295">
        <v>27000</v>
      </c>
      <c r="C7" s="293"/>
      <c r="D7" s="295" t="s">
        <v>800</v>
      </c>
      <c r="E7" s="295">
        <v>23000</v>
      </c>
      <c r="T7" s="294" t="s">
        <v>801</v>
      </c>
      <c r="U7" s="294" t="s">
        <v>802</v>
      </c>
    </row>
    <row r="8" spans="1:21" x14ac:dyDescent="0.25">
      <c r="A8" s="295" t="s">
        <v>803</v>
      </c>
      <c r="B8" s="295">
        <v>20000</v>
      </c>
      <c r="C8" s="293"/>
      <c r="D8" s="295" t="s">
        <v>804</v>
      </c>
      <c r="E8" s="295">
        <v>100000</v>
      </c>
      <c r="S8" s="294" t="s">
        <v>805</v>
      </c>
      <c r="T8" s="294">
        <v>5000</v>
      </c>
    </row>
    <row r="9" spans="1:21" x14ac:dyDescent="0.25">
      <c r="A9" s="295" t="s">
        <v>17</v>
      </c>
      <c r="B9" s="295">
        <v>1102.6400000000001</v>
      </c>
      <c r="C9" s="293"/>
      <c r="D9" s="295" t="s">
        <v>806</v>
      </c>
      <c r="E9" s="295">
        <v>5000</v>
      </c>
      <c r="N9" s="296"/>
      <c r="O9" s="296"/>
      <c r="P9" s="296">
        <v>36</v>
      </c>
      <c r="S9" s="294" t="s">
        <v>807</v>
      </c>
      <c r="T9" s="294">
        <v>2500</v>
      </c>
    </row>
    <row r="10" spans="1:21" x14ac:dyDescent="0.25">
      <c r="A10" s="295" t="s">
        <v>808</v>
      </c>
      <c r="B10" s="295">
        <v>10000</v>
      </c>
      <c r="C10" s="293"/>
      <c r="D10" s="295" t="s">
        <v>809</v>
      </c>
      <c r="E10" s="295"/>
      <c r="N10" s="296"/>
      <c r="O10" s="296"/>
      <c r="P10" s="296">
        <v>9</v>
      </c>
      <c r="S10" s="294" t="s">
        <v>810</v>
      </c>
      <c r="T10" s="294">
        <v>500</v>
      </c>
    </row>
    <row r="11" spans="1:21" x14ac:dyDescent="0.25">
      <c r="A11" s="295" t="s">
        <v>811</v>
      </c>
      <c r="B11" s="295">
        <v>25000</v>
      </c>
      <c r="C11" s="293"/>
      <c r="D11" s="295" t="s">
        <v>812</v>
      </c>
      <c r="E11" s="295">
        <v>3500</v>
      </c>
      <c r="N11" s="296"/>
      <c r="O11" s="296"/>
      <c r="P11" s="296"/>
      <c r="S11" s="294" t="s">
        <v>813</v>
      </c>
      <c r="T11" s="294">
        <v>300</v>
      </c>
    </row>
    <row r="12" spans="1:21" x14ac:dyDescent="0.25">
      <c r="A12" s="295" t="s">
        <v>814</v>
      </c>
      <c r="B12" s="295">
        <v>10000</v>
      </c>
      <c r="C12" s="293"/>
      <c r="D12" s="295"/>
      <c r="E12" s="295"/>
      <c r="N12" s="296"/>
      <c r="O12" s="296"/>
      <c r="P12" s="296"/>
      <c r="S12" s="294" t="s">
        <v>815</v>
      </c>
      <c r="T12" s="294">
        <v>5000</v>
      </c>
      <c r="U12" s="294">
        <v>5000</v>
      </c>
    </row>
    <row r="13" spans="1:21" x14ac:dyDescent="0.25">
      <c r="A13" s="367" t="s">
        <v>816</v>
      </c>
      <c r="B13" s="295">
        <v>250000</v>
      </c>
      <c r="C13" s="293"/>
      <c r="D13" s="295"/>
      <c r="E13" s="295"/>
      <c r="N13" s="296">
        <v>48</v>
      </c>
      <c r="O13" s="296">
        <v>5000</v>
      </c>
      <c r="P13" s="296">
        <f>O13*N13</f>
        <v>240000</v>
      </c>
      <c r="S13" s="294" t="s">
        <v>817</v>
      </c>
      <c r="U13" s="294">
        <v>10000</v>
      </c>
    </row>
    <row r="14" spans="1:21" x14ac:dyDescent="0.25">
      <c r="A14" s="295" t="s">
        <v>818</v>
      </c>
      <c r="B14" s="295">
        <v>20000</v>
      </c>
      <c r="C14" s="293"/>
      <c r="D14" s="295"/>
      <c r="E14" s="295"/>
      <c r="N14" s="296"/>
      <c r="O14" s="296"/>
      <c r="P14" s="296"/>
      <c r="S14" s="294" t="s">
        <v>716</v>
      </c>
      <c r="T14" s="294">
        <v>2000</v>
      </c>
      <c r="U14" s="294">
        <v>2000</v>
      </c>
    </row>
    <row r="15" spans="1:21" x14ac:dyDescent="0.25">
      <c r="A15" s="295" t="s">
        <v>806</v>
      </c>
      <c r="B15" s="295">
        <v>5000</v>
      </c>
      <c r="C15" s="293"/>
      <c r="D15" s="295"/>
      <c r="E15" s="295"/>
      <c r="J15" s="294">
        <v>15999.7</v>
      </c>
    </row>
    <row r="16" spans="1:21" x14ac:dyDescent="0.25">
      <c r="A16" s="295" t="s">
        <v>809</v>
      </c>
      <c r="B16" s="295"/>
      <c r="C16" s="293"/>
      <c r="D16" s="295"/>
      <c r="E16" s="295"/>
      <c r="J16" s="294">
        <f>J15*4</f>
        <v>63998.8</v>
      </c>
      <c r="T16" s="658">
        <f>SUM(T8:U15)</f>
        <v>32300</v>
      </c>
      <c r="U16" s="658"/>
    </row>
    <row r="17" spans="1:21" x14ac:dyDescent="0.25">
      <c r="A17" s="296" t="s">
        <v>812</v>
      </c>
      <c r="B17" s="296">
        <v>3500</v>
      </c>
      <c r="C17" s="293"/>
      <c r="D17" s="295"/>
      <c r="E17" s="295"/>
      <c r="T17" s="294">
        <f>54*2000</f>
        <v>108000</v>
      </c>
    </row>
    <row r="18" spans="1:21" x14ac:dyDescent="0.25">
      <c r="A18" s="296"/>
      <c r="B18" s="296"/>
      <c r="C18" s="293"/>
      <c r="D18" s="295"/>
      <c r="E18" s="295"/>
    </row>
    <row r="19" spans="1:21" x14ac:dyDescent="0.25">
      <c r="A19" s="295"/>
      <c r="B19" s="295"/>
      <c r="C19" s="293"/>
      <c r="D19" s="295"/>
      <c r="E19" s="295"/>
    </row>
    <row r="20" spans="1:21" x14ac:dyDescent="0.25">
      <c r="A20" s="295"/>
      <c r="B20" s="295"/>
      <c r="C20" s="293"/>
      <c r="D20" s="295"/>
      <c r="E20" s="295"/>
      <c r="J20" s="294">
        <v>37999.800000000003</v>
      </c>
    </row>
    <row r="21" spans="1:21" x14ac:dyDescent="0.25">
      <c r="A21" s="295"/>
      <c r="B21" s="295"/>
      <c r="C21" s="293"/>
      <c r="D21" s="295"/>
      <c r="E21" s="295"/>
      <c r="J21" s="294">
        <f>J20*4</f>
        <v>151999.20000000001</v>
      </c>
      <c r="T21" s="294">
        <v>140300</v>
      </c>
    </row>
    <row r="22" spans="1:21" x14ac:dyDescent="0.25">
      <c r="A22" s="295"/>
      <c r="B22" s="295"/>
      <c r="C22" s="293"/>
      <c r="D22" s="295" t="s">
        <v>819</v>
      </c>
      <c r="E22" s="295">
        <v>-183997</v>
      </c>
      <c r="T22" s="294">
        <v>-2000</v>
      </c>
      <c r="U22" s="294" t="s">
        <v>820</v>
      </c>
    </row>
    <row r="23" spans="1:21" x14ac:dyDescent="0.25">
      <c r="A23" s="368" t="s">
        <v>821</v>
      </c>
      <c r="B23" s="295">
        <v>-13894.31</v>
      </c>
      <c r="C23" s="293"/>
      <c r="D23" s="368" t="s">
        <v>821</v>
      </c>
      <c r="E23" s="295">
        <v>-30000</v>
      </c>
      <c r="T23" s="294">
        <v>-21000</v>
      </c>
      <c r="U23" s="294" t="s">
        <v>822</v>
      </c>
    </row>
    <row r="24" spans="1:21" x14ac:dyDescent="0.25">
      <c r="A24" s="295" t="s">
        <v>819</v>
      </c>
      <c r="B24" s="295">
        <v>-351007.9</v>
      </c>
      <c r="C24" s="293"/>
      <c r="D24" s="368" t="s">
        <v>823</v>
      </c>
      <c r="E24" s="295">
        <v>-15500</v>
      </c>
      <c r="T24" s="294">
        <v>-108000</v>
      </c>
      <c r="U24" s="294" t="s">
        <v>822</v>
      </c>
    </row>
    <row r="25" spans="1:21" x14ac:dyDescent="0.25">
      <c r="A25" s="295" t="s">
        <v>824</v>
      </c>
      <c r="B25" s="295">
        <v>-160000</v>
      </c>
      <c r="C25" s="293"/>
      <c r="D25" s="295" t="s">
        <v>825</v>
      </c>
      <c r="E25" s="295">
        <v>-72000</v>
      </c>
      <c r="T25" s="294">
        <v>-10000</v>
      </c>
      <c r="U25" s="294" t="s">
        <v>822</v>
      </c>
    </row>
    <row r="26" spans="1:21" x14ac:dyDescent="0.25">
      <c r="A26" s="297" t="s">
        <v>18</v>
      </c>
      <c r="B26" s="297">
        <f>SUM(B2:B25)</f>
        <v>4700.429999999993</v>
      </c>
      <c r="C26" s="293"/>
      <c r="D26" s="297" t="s">
        <v>18</v>
      </c>
      <c r="E26" s="297">
        <f>SUM(E2:E25)</f>
        <v>-19997</v>
      </c>
    </row>
    <row r="29" spans="1:21" x14ac:dyDescent="0.25">
      <c r="S29" s="294">
        <v>17000</v>
      </c>
    </row>
    <row r="30" spans="1:21" x14ac:dyDescent="0.25">
      <c r="S30" s="294">
        <v>-115909.65</v>
      </c>
    </row>
    <row r="31" spans="1:21" x14ac:dyDescent="0.25">
      <c r="C31" s="296"/>
      <c r="D31" s="296" t="s">
        <v>826</v>
      </c>
      <c r="E31" s="659"/>
      <c r="F31" s="660"/>
      <c r="G31" s="661"/>
    </row>
    <row r="32" spans="1:21" x14ac:dyDescent="0.25">
      <c r="C32" s="298">
        <v>43955</v>
      </c>
      <c r="D32" s="295">
        <v>200000</v>
      </c>
      <c r="E32" s="654" t="s">
        <v>827</v>
      </c>
      <c r="F32" s="654"/>
      <c r="G32" s="654"/>
      <c r="I32" s="296">
        <v>200000</v>
      </c>
      <c r="J32" s="296">
        <v>-188000</v>
      </c>
      <c r="K32" s="296" t="s">
        <v>248</v>
      </c>
    </row>
    <row r="33" spans="3:16" x14ac:dyDescent="0.25">
      <c r="C33" s="298">
        <v>43973</v>
      </c>
      <c r="D33" s="295">
        <v>600000</v>
      </c>
      <c r="E33" s="654" t="s">
        <v>827</v>
      </c>
      <c r="F33" s="654"/>
      <c r="G33" s="654"/>
      <c r="I33" s="296">
        <v>200000</v>
      </c>
      <c r="J33" s="296">
        <v>-188000</v>
      </c>
      <c r="K33" s="296" t="s">
        <v>6</v>
      </c>
    </row>
    <row r="34" spans="3:16" x14ac:dyDescent="0.25">
      <c r="C34" s="298">
        <v>43973</v>
      </c>
      <c r="D34" s="299">
        <v>23000</v>
      </c>
      <c r="E34" s="654" t="s">
        <v>800</v>
      </c>
      <c r="F34" s="654"/>
      <c r="G34" s="654"/>
      <c r="I34" s="296">
        <v>200000</v>
      </c>
      <c r="J34" s="296">
        <v>-196000</v>
      </c>
      <c r="K34" s="296" t="s">
        <v>5</v>
      </c>
      <c r="O34" s="294" t="s">
        <v>18</v>
      </c>
      <c r="P34" s="294">
        <v>35</v>
      </c>
    </row>
    <row r="35" spans="3:16" x14ac:dyDescent="0.25">
      <c r="C35" s="298">
        <v>43975</v>
      </c>
      <c r="D35" s="295">
        <v>25000</v>
      </c>
      <c r="E35" s="654" t="s">
        <v>828</v>
      </c>
      <c r="F35" s="654"/>
      <c r="G35" s="654"/>
      <c r="I35" s="296"/>
      <c r="J35" s="296">
        <v>-28000</v>
      </c>
      <c r="K35" s="296" t="s">
        <v>829</v>
      </c>
      <c r="O35" s="294" t="s">
        <v>0</v>
      </c>
      <c r="P35" s="294">
        <v>-13</v>
      </c>
    </row>
    <row r="36" spans="3:16" x14ac:dyDescent="0.25">
      <c r="C36" s="298">
        <v>44003</v>
      </c>
      <c r="D36" s="295">
        <v>66000</v>
      </c>
      <c r="E36" s="654" t="s">
        <v>827</v>
      </c>
      <c r="F36" s="654"/>
      <c r="G36" s="654"/>
      <c r="O36" s="294" t="s">
        <v>830</v>
      </c>
      <c r="P36" s="294">
        <f>SUM(P34:P35)</f>
        <v>22</v>
      </c>
    </row>
    <row r="37" spans="3:16" x14ac:dyDescent="0.25">
      <c r="C37" s="298">
        <v>43986</v>
      </c>
      <c r="D37" s="295">
        <v>600000</v>
      </c>
      <c r="E37" s="654" t="s">
        <v>831</v>
      </c>
      <c r="F37" s="654"/>
      <c r="G37" s="654"/>
    </row>
    <row r="38" spans="3:16" x14ac:dyDescent="0.25">
      <c r="C38" s="296"/>
      <c r="D38" s="295">
        <v>-23000</v>
      </c>
      <c r="E38" s="654"/>
      <c r="F38" s="654"/>
      <c r="G38" s="654"/>
    </row>
    <row r="39" spans="3:16" x14ac:dyDescent="0.25">
      <c r="C39" s="296"/>
      <c r="D39" s="295"/>
      <c r="E39" s="654"/>
      <c r="F39" s="654"/>
      <c r="G39" s="654"/>
    </row>
    <row r="40" spans="3:16" x14ac:dyDescent="0.25">
      <c r="C40" s="296"/>
      <c r="D40" s="295"/>
      <c r="E40" s="654"/>
      <c r="F40" s="654"/>
      <c r="G40" s="654"/>
    </row>
    <row r="41" spans="3:16" x14ac:dyDescent="0.25">
      <c r="C41" s="296"/>
      <c r="D41" s="295"/>
      <c r="E41" s="654"/>
      <c r="F41" s="654"/>
      <c r="G41" s="654"/>
    </row>
    <row r="42" spans="3:16" x14ac:dyDescent="0.25">
      <c r="C42" s="296"/>
      <c r="D42" s="295"/>
      <c r="E42" s="654"/>
      <c r="F42" s="654"/>
      <c r="G42" s="654"/>
    </row>
    <row r="43" spans="3:16" x14ac:dyDescent="0.25">
      <c r="C43" s="296"/>
      <c r="D43" s="295"/>
      <c r="E43" s="654"/>
      <c r="F43" s="654"/>
      <c r="G43" s="654"/>
    </row>
    <row r="44" spans="3:16" x14ac:dyDescent="0.25">
      <c r="C44" s="296"/>
      <c r="D44" s="295"/>
      <c r="E44" s="654"/>
      <c r="F44" s="654"/>
      <c r="G44" s="654"/>
    </row>
    <row r="45" spans="3:16" x14ac:dyDescent="0.25">
      <c r="C45" s="296"/>
      <c r="D45" s="295"/>
      <c r="E45" s="654"/>
      <c r="F45" s="654"/>
      <c r="G45" s="654"/>
    </row>
    <row r="46" spans="3:16" x14ac:dyDescent="0.25">
      <c r="C46" s="296"/>
      <c r="D46" s="295"/>
      <c r="E46" s="654"/>
      <c r="F46" s="654"/>
      <c r="G46" s="654"/>
    </row>
    <row r="47" spans="3:16" x14ac:dyDescent="0.25">
      <c r="C47" s="296"/>
      <c r="D47" s="295"/>
      <c r="E47" s="654"/>
      <c r="F47" s="654"/>
      <c r="G47" s="654"/>
    </row>
    <row r="48" spans="3:16" x14ac:dyDescent="0.25">
      <c r="C48" s="296"/>
      <c r="D48" s="295"/>
      <c r="E48" s="654"/>
      <c r="F48" s="654"/>
      <c r="G48" s="654"/>
    </row>
    <row r="49" spans="3:7" x14ac:dyDescent="0.25">
      <c r="C49" s="296"/>
      <c r="D49" s="295"/>
      <c r="E49" s="654"/>
      <c r="F49" s="654"/>
      <c r="G49" s="654"/>
    </row>
    <row r="50" spans="3:7" x14ac:dyDescent="0.25">
      <c r="C50" s="296"/>
      <c r="D50" s="295"/>
      <c r="E50" s="654"/>
      <c r="F50" s="654"/>
      <c r="G50" s="654"/>
    </row>
    <row r="51" spans="3:7" x14ac:dyDescent="0.25">
      <c r="C51" s="296" t="s">
        <v>18</v>
      </c>
      <c r="D51" s="295">
        <f>SUM(D32:D50)</f>
        <v>1491000</v>
      </c>
      <c r="E51" s="654"/>
      <c r="F51" s="654"/>
      <c r="G51" s="654"/>
    </row>
  </sheetData>
  <mergeCells count="24">
    <mergeCell ref="E51:G51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39:G39"/>
    <mergeCell ref="A1:B1"/>
    <mergeCell ref="D1:E1"/>
    <mergeCell ref="T16:U16"/>
    <mergeCell ref="E31:G31"/>
    <mergeCell ref="E32:G32"/>
    <mergeCell ref="E33:G33"/>
    <mergeCell ref="E34:G34"/>
    <mergeCell ref="E35:G35"/>
    <mergeCell ref="E36:G36"/>
    <mergeCell ref="E37:G37"/>
    <mergeCell ref="E38:G38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99DB-3672-4919-AA92-11137990D880}">
  <dimension ref="A1:AB136"/>
  <sheetViews>
    <sheetView topLeftCell="G65" zoomScale="85" zoomScaleNormal="85" workbookViewId="0">
      <selection activeCell="M138" sqref="M138"/>
    </sheetView>
  </sheetViews>
  <sheetFormatPr defaultColWidth="9.140625" defaultRowHeight="15" x14ac:dyDescent="0.25"/>
  <cols>
    <col min="1" max="1" width="14.28515625" style="293" bestFit="1" customWidth="1"/>
    <col min="2" max="2" width="10.7109375" style="294" bestFit="1" customWidth="1"/>
    <col min="3" max="3" width="9.140625" style="294"/>
    <col min="4" max="4" width="9.7109375" style="294" bestFit="1" customWidth="1"/>
    <col min="5" max="5" width="12.5703125" style="293" bestFit="1" customWidth="1"/>
    <col min="6" max="8" width="10.5703125" style="294" customWidth="1"/>
    <col min="9" max="9" width="4" style="294" bestFit="1" customWidth="1"/>
    <col min="10" max="10" width="21.7109375" style="294" bestFit="1" customWidth="1"/>
    <col min="11" max="11" width="14.42578125" style="294" bestFit="1" customWidth="1"/>
    <col min="12" max="12" width="14.7109375" style="294" bestFit="1" customWidth="1"/>
    <col min="13" max="13" width="12.28515625" style="294" bestFit="1" customWidth="1"/>
    <col min="14" max="14" width="13.7109375" style="294" bestFit="1" customWidth="1"/>
    <col min="15" max="15" width="12.28515625" style="294" bestFit="1" customWidth="1"/>
    <col min="16" max="16" width="15" style="294" bestFit="1" customWidth="1"/>
    <col min="17" max="17" width="23.140625" style="294" customWidth="1"/>
    <col min="18" max="18" width="15.5703125" style="294" customWidth="1"/>
    <col min="19" max="19" width="14.42578125" style="294" customWidth="1"/>
    <col min="20" max="20" width="10.140625" style="294" bestFit="1" customWidth="1"/>
    <col min="21" max="21" width="11.140625" style="294" customWidth="1"/>
    <col min="22" max="22" width="8.28515625" style="294" customWidth="1"/>
    <col min="23" max="23" width="7.7109375" style="294" customWidth="1"/>
    <col min="24" max="24" width="8.28515625" style="294" customWidth="1"/>
    <col min="25" max="25" width="8.7109375" style="294" customWidth="1"/>
    <col min="26" max="26" width="8.140625" style="294" customWidth="1"/>
    <col min="27" max="16384" width="9.140625" style="294"/>
  </cols>
  <sheetData>
    <row r="1" spans="1:26" x14ac:dyDescent="0.25">
      <c r="A1" s="336" t="s">
        <v>832</v>
      </c>
      <c r="B1" s="337">
        <v>1180823</v>
      </c>
      <c r="C1" s="54"/>
      <c r="D1" s="338"/>
      <c r="E1" s="339" t="s">
        <v>833</v>
      </c>
      <c r="F1" s="339" t="s">
        <v>834</v>
      </c>
      <c r="G1" s="340" t="s">
        <v>835</v>
      </c>
      <c r="H1" s="341"/>
      <c r="J1" s="342"/>
      <c r="K1" s="343"/>
      <c r="L1" s="283"/>
      <c r="N1" s="344"/>
      <c r="O1" s="344"/>
      <c r="P1" s="344"/>
      <c r="Q1" s="344"/>
      <c r="R1" s="344"/>
    </row>
    <row r="2" spans="1:26" x14ac:dyDescent="0.25">
      <c r="A2" s="345" t="s">
        <v>836</v>
      </c>
      <c r="B2" s="346">
        <v>1064000</v>
      </c>
      <c r="C2" s="61">
        <v>-85000</v>
      </c>
      <c r="D2" s="347" t="s">
        <v>837</v>
      </c>
      <c r="E2" s="287">
        <v>-1695</v>
      </c>
      <c r="F2" s="287">
        <v>6000</v>
      </c>
      <c r="G2" s="348"/>
      <c r="H2" s="349"/>
      <c r="J2" s="350"/>
      <c r="K2" s="351"/>
      <c r="L2" s="271"/>
      <c r="N2" s="88" t="s">
        <v>838</v>
      </c>
      <c r="O2" s="88"/>
      <c r="P2" s="87"/>
      <c r="S2" s="352"/>
    </row>
    <row r="3" spans="1:26" x14ac:dyDescent="0.25">
      <c r="A3" s="345" t="s">
        <v>0</v>
      </c>
      <c r="B3" s="346">
        <f>B1-B2</f>
        <v>116823</v>
      </c>
      <c r="C3" s="61"/>
      <c r="D3" s="347" t="s">
        <v>839</v>
      </c>
      <c r="E3" s="287">
        <v>-6438</v>
      </c>
      <c r="F3" s="287">
        <v>6000</v>
      </c>
      <c r="G3" s="348"/>
      <c r="H3" s="349"/>
      <c r="I3" s="342" t="s">
        <v>630</v>
      </c>
      <c r="J3" s="88" t="s">
        <v>838</v>
      </c>
      <c r="K3" s="88"/>
      <c r="L3" s="271"/>
      <c r="N3" s="5" t="s">
        <v>840</v>
      </c>
      <c r="O3" s="5">
        <v>15.25</v>
      </c>
      <c r="P3" s="2"/>
      <c r="S3" s="352"/>
    </row>
    <row r="4" spans="1:26" x14ac:dyDescent="0.25">
      <c r="A4" s="345" t="s">
        <v>841</v>
      </c>
      <c r="B4" s="346">
        <f>B1*80/100</f>
        <v>944658.4</v>
      </c>
      <c r="C4" s="61"/>
      <c r="D4" s="347" t="s">
        <v>842</v>
      </c>
      <c r="E4" s="287">
        <v>-7904</v>
      </c>
      <c r="F4" s="287">
        <v>6000</v>
      </c>
      <c r="G4" s="348">
        <v>4000</v>
      </c>
      <c r="H4" s="349"/>
      <c r="J4" s="5" t="s">
        <v>840</v>
      </c>
      <c r="K4" s="5">
        <v>14.75</v>
      </c>
      <c r="L4" s="271"/>
      <c r="N4" s="95" t="s">
        <v>843</v>
      </c>
      <c r="O4" s="5">
        <f>O3/12</f>
        <v>1.2708333333333333</v>
      </c>
      <c r="P4" s="2"/>
      <c r="S4" s="352"/>
      <c r="T4" s="353"/>
      <c r="U4" s="353"/>
      <c r="V4" s="353"/>
    </row>
    <row r="5" spans="1:26" ht="15.75" thickBot="1" x14ac:dyDescent="0.3">
      <c r="A5" s="354" t="s">
        <v>844</v>
      </c>
      <c r="B5" s="355">
        <f>B4-B2</f>
        <v>-119341.59999999998</v>
      </c>
      <c r="C5" s="61"/>
      <c r="D5" s="347" t="s">
        <v>845</v>
      </c>
      <c r="E5" s="287">
        <v>-7624</v>
      </c>
      <c r="F5" s="287">
        <v>6000</v>
      </c>
      <c r="G5" s="348">
        <v>4000</v>
      </c>
      <c r="H5" s="349"/>
      <c r="J5" s="95" t="s">
        <v>843</v>
      </c>
      <c r="K5" s="5">
        <f>K4/12</f>
        <v>1.2291666666666667</v>
      </c>
      <c r="L5" s="271"/>
      <c r="N5" s="95" t="s">
        <v>846</v>
      </c>
      <c r="O5" s="5">
        <f>O4/30</f>
        <v>4.2361111111111106E-2</v>
      </c>
      <c r="P5" s="2"/>
      <c r="S5" s="352"/>
      <c r="W5" s="666"/>
      <c r="X5" s="666"/>
      <c r="Y5" s="666"/>
      <c r="Z5" s="666"/>
    </row>
    <row r="6" spans="1:26" x14ac:dyDescent="0.25">
      <c r="A6" s="342"/>
      <c r="B6" s="342"/>
      <c r="C6" s="61"/>
      <c r="D6" s="347" t="s">
        <v>847</v>
      </c>
      <c r="E6" s="287">
        <v>-4892</v>
      </c>
      <c r="F6" s="287">
        <v>6000</v>
      </c>
      <c r="G6" s="348">
        <v>4000</v>
      </c>
      <c r="H6" s="349"/>
      <c r="J6" s="95" t="s">
        <v>846</v>
      </c>
      <c r="K6" s="5">
        <f>K5/30</f>
        <v>4.0972222222222222E-2</v>
      </c>
      <c r="L6" s="271"/>
      <c r="N6" s="85" t="s">
        <v>352</v>
      </c>
      <c r="O6" s="5">
        <v>300000</v>
      </c>
      <c r="P6" s="2"/>
      <c r="S6" s="352"/>
    </row>
    <row r="7" spans="1:26" x14ac:dyDescent="0.25">
      <c r="A7" s="61"/>
      <c r="B7" s="61"/>
      <c r="C7" s="61"/>
      <c r="D7" s="347" t="s">
        <v>848</v>
      </c>
      <c r="E7" s="287">
        <v>-4469</v>
      </c>
      <c r="F7" s="287">
        <v>6000</v>
      </c>
      <c r="G7" s="348">
        <v>4000</v>
      </c>
      <c r="H7" s="349"/>
      <c r="J7" s="85" t="s">
        <v>352</v>
      </c>
      <c r="K7" s="5">
        <v>80000</v>
      </c>
      <c r="L7" s="271"/>
      <c r="N7" s="85" t="s">
        <v>849</v>
      </c>
      <c r="O7" s="5">
        <v>30</v>
      </c>
      <c r="P7" s="2"/>
      <c r="S7" s="352"/>
    </row>
    <row r="8" spans="1:26" x14ac:dyDescent="0.25">
      <c r="A8" s="61"/>
      <c r="B8" s="61">
        <v>-571878</v>
      </c>
      <c r="C8" s="61"/>
      <c r="D8" s="347" t="s">
        <v>850</v>
      </c>
      <c r="E8" s="287">
        <v>-3324</v>
      </c>
      <c r="F8" s="287">
        <v>6000</v>
      </c>
      <c r="G8" s="348">
        <v>4000</v>
      </c>
      <c r="H8" s="349"/>
      <c r="J8" s="85" t="s">
        <v>849</v>
      </c>
      <c r="K8" s="5">
        <v>6</v>
      </c>
      <c r="L8" s="271"/>
      <c r="N8" s="95" t="s">
        <v>17</v>
      </c>
      <c r="O8" s="5">
        <f>O7*O6*O5/100</f>
        <v>3812.4999999999995</v>
      </c>
      <c r="P8" s="2"/>
      <c r="S8" s="352"/>
    </row>
    <row r="9" spans="1:26" x14ac:dyDescent="0.25">
      <c r="A9" s="61"/>
      <c r="B9" s="61">
        <v>6000</v>
      </c>
      <c r="C9" s="61"/>
      <c r="D9" s="347" t="s">
        <v>851</v>
      </c>
      <c r="E9" s="287">
        <v>-1945</v>
      </c>
      <c r="F9" s="287">
        <v>6000</v>
      </c>
      <c r="G9" s="348">
        <v>4000</v>
      </c>
      <c r="H9" s="349"/>
      <c r="J9" s="95" t="s">
        <v>17</v>
      </c>
      <c r="K9" s="5">
        <f>K8*K7*K6/100</f>
        <v>196.66666666666669</v>
      </c>
      <c r="L9" s="271"/>
      <c r="Q9" s="405"/>
      <c r="S9" s="352"/>
      <c r="X9" s="658"/>
      <c r="Y9" s="658"/>
    </row>
    <row r="10" spans="1:26" x14ac:dyDescent="0.25">
      <c r="A10" s="61"/>
      <c r="B10" s="61">
        <v>50000</v>
      </c>
      <c r="C10" s="61"/>
      <c r="D10" s="347" t="s">
        <v>852</v>
      </c>
      <c r="E10" s="287">
        <v>-1270</v>
      </c>
      <c r="F10" s="287">
        <v>6000</v>
      </c>
      <c r="G10" s="348">
        <v>4000</v>
      </c>
      <c r="H10" s="349"/>
      <c r="N10" s="88" t="s">
        <v>838</v>
      </c>
      <c r="O10" s="88"/>
      <c r="P10" s="87"/>
      <c r="S10" s="352"/>
    </row>
    <row r="11" spans="1:26" x14ac:dyDescent="0.25">
      <c r="A11" s="61"/>
      <c r="B11" s="61">
        <v>60000</v>
      </c>
      <c r="C11" s="61"/>
      <c r="D11" s="347" t="s">
        <v>853</v>
      </c>
      <c r="E11" s="287">
        <v>-1830</v>
      </c>
      <c r="F11" s="287">
        <v>1300</v>
      </c>
      <c r="G11" s="348">
        <v>4000</v>
      </c>
      <c r="H11" s="349"/>
      <c r="N11" s="5" t="s">
        <v>840</v>
      </c>
      <c r="O11" s="5">
        <v>14</v>
      </c>
      <c r="P11" s="2"/>
      <c r="S11" s="352"/>
    </row>
    <row r="12" spans="1:26" x14ac:dyDescent="0.25">
      <c r="A12" s="61"/>
      <c r="B12" s="61">
        <v>20000</v>
      </c>
      <c r="C12" s="61"/>
      <c r="D12" s="347" t="s">
        <v>854</v>
      </c>
      <c r="E12" s="287">
        <v>-7492</v>
      </c>
      <c r="F12" s="287">
        <v>1300</v>
      </c>
      <c r="G12" s="348">
        <v>4000</v>
      </c>
      <c r="H12" s="349"/>
      <c r="K12" s="59"/>
      <c r="L12" s="59"/>
      <c r="N12" s="95" t="s">
        <v>843</v>
      </c>
      <c r="O12" s="5">
        <f>O11/12</f>
        <v>1.1666666666666667</v>
      </c>
      <c r="P12" s="2"/>
      <c r="S12" s="352"/>
    </row>
    <row r="13" spans="1:26" x14ac:dyDescent="0.25">
      <c r="A13" s="61"/>
      <c r="B13" s="61"/>
      <c r="C13" s="61"/>
      <c r="D13" s="347" t="s">
        <v>837</v>
      </c>
      <c r="E13" s="287">
        <v>-2717</v>
      </c>
      <c r="F13" s="287">
        <v>1300</v>
      </c>
      <c r="G13" s="348">
        <v>4000</v>
      </c>
      <c r="H13" s="349"/>
      <c r="K13" s="59" t="s">
        <v>684</v>
      </c>
      <c r="L13" s="59">
        <v>60000</v>
      </c>
      <c r="N13" s="95" t="s">
        <v>846</v>
      </c>
      <c r="O13" s="5">
        <f>O12/30</f>
        <v>3.888888888888889E-2</v>
      </c>
      <c r="P13" s="2"/>
      <c r="S13" s="352"/>
    </row>
    <row r="14" spans="1:26" x14ac:dyDescent="0.25">
      <c r="A14" s="61"/>
      <c r="B14" s="61"/>
      <c r="C14" s="61"/>
      <c r="D14" s="347" t="s">
        <v>839</v>
      </c>
      <c r="E14" s="287">
        <v>-2716</v>
      </c>
      <c r="F14" s="287">
        <v>1300</v>
      </c>
      <c r="G14" s="348">
        <v>4000</v>
      </c>
      <c r="H14" s="349"/>
      <c r="I14" s="293"/>
      <c r="K14" s="59" t="s">
        <v>855</v>
      </c>
      <c r="L14" s="59">
        <v>600000</v>
      </c>
      <c r="N14" s="85" t="s">
        <v>352</v>
      </c>
      <c r="O14" s="5">
        <v>150500</v>
      </c>
      <c r="P14" s="2"/>
      <c r="S14" s="352"/>
    </row>
    <row r="15" spans="1:26" x14ac:dyDescent="0.25">
      <c r="A15" s="61"/>
      <c r="B15" s="61"/>
      <c r="C15" s="61"/>
      <c r="D15" s="347" t="s">
        <v>842</v>
      </c>
      <c r="E15" s="287">
        <v>-2716</v>
      </c>
      <c r="F15" s="287">
        <v>1300</v>
      </c>
      <c r="G15" s="348">
        <v>4000</v>
      </c>
      <c r="H15" s="349"/>
      <c r="K15" s="59" t="s">
        <v>856</v>
      </c>
      <c r="L15" s="59">
        <v>400000</v>
      </c>
      <c r="N15" s="85" t="s">
        <v>849</v>
      </c>
      <c r="O15" s="5">
        <v>30</v>
      </c>
      <c r="P15" s="2"/>
      <c r="S15" s="352"/>
    </row>
    <row r="16" spans="1:26" x14ac:dyDescent="0.25">
      <c r="A16" s="61"/>
      <c r="B16" s="61"/>
      <c r="C16" s="61"/>
      <c r="D16" s="356" t="s">
        <v>845</v>
      </c>
      <c r="E16" s="287">
        <v>-5234.4399999999996</v>
      </c>
      <c r="F16" s="287">
        <v>1300</v>
      </c>
      <c r="G16" s="348">
        <v>4000</v>
      </c>
      <c r="H16" s="349"/>
      <c r="K16" s="59"/>
      <c r="L16" s="59"/>
      <c r="N16" s="95" t="s">
        <v>17</v>
      </c>
      <c r="O16" s="5">
        <f>O15*O14*O13/100</f>
        <v>1755.8333333333335</v>
      </c>
      <c r="P16" s="2"/>
      <c r="S16" s="352"/>
    </row>
    <row r="17" spans="1:27" x14ac:dyDescent="0.25">
      <c r="A17" s="61"/>
      <c r="B17" s="61"/>
      <c r="C17" s="61"/>
      <c r="D17" s="356" t="s">
        <v>847</v>
      </c>
      <c r="E17" s="287">
        <v>-2363</v>
      </c>
      <c r="F17" s="287">
        <v>1300</v>
      </c>
      <c r="G17" s="348">
        <v>4000</v>
      </c>
      <c r="H17" s="349"/>
      <c r="S17" s="352"/>
    </row>
    <row r="18" spans="1:27" x14ac:dyDescent="0.25">
      <c r="A18" s="61"/>
      <c r="B18" s="61"/>
      <c r="C18" s="61"/>
      <c r="D18" s="356" t="s">
        <v>848</v>
      </c>
      <c r="E18" s="287">
        <v>-2069</v>
      </c>
      <c r="F18" s="287">
        <v>1300</v>
      </c>
      <c r="G18" s="348">
        <v>4000</v>
      </c>
      <c r="H18" s="349">
        <v>2000</v>
      </c>
      <c r="I18" s="61"/>
      <c r="J18" s="296"/>
      <c r="K18" s="357"/>
      <c r="L18" s="357"/>
      <c r="S18" s="352"/>
    </row>
    <row r="19" spans="1:27" x14ac:dyDescent="0.25">
      <c r="A19" s="61"/>
      <c r="B19" s="61"/>
      <c r="C19" s="61"/>
      <c r="D19" s="356" t="s">
        <v>850</v>
      </c>
      <c r="E19" s="287">
        <v>-3033.14</v>
      </c>
      <c r="F19" s="287">
        <v>1300</v>
      </c>
      <c r="G19" s="348">
        <v>4000</v>
      </c>
      <c r="H19" s="349">
        <v>2000</v>
      </c>
      <c r="I19" s="61"/>
      <c r="J19" s="371">
        <v>1064000</v>
      </c>
      <c r="K19" s="295"/>
      <c r="L19" s="295"/>
      <c r="S19" s="352"/>
    </row>
    <row r="20" spans="1:27" x14ac:dyDescent="0.25">
      <c r="A20" s="61"/>
      <c r="B20" s="61"/>
      <c r="C20" s="61"/>
      <c r="D20" s="356" t="s">
        <v>851</v>
      </c>
      <c r="E20" s="287">
        <v>-6447</v>
      </c>
      <c r="F20" s="287">
        <v>1300</v>
      </c>
      <c r="G20" s="348">
        <v>4000</v>
      </c>
      <c r="H20" s="349">
        <v>2000</v>
      </c>
      <c r="I20" s="61"/>
      <c r="J20" s="358">
        <v>116823</v>
      </c>
      <c r="K20" s="295"/>
      <c r="L20" s="295"/>
      <c r="S20" s="352"/>
    </row>
    <row r="21" spans="1:27" x14ac:dyDescent="0.25">
      <c r="A21" s="61"/>
      <c r="B21" s="61"/>
      <c r="C21" s="61"/>
      <c r="D21" s="356" t="s">
        <v>852</v>
      </c>
      <c r="E21" s="287">
        <v>-2463</v>
      </c>
      <c r="F21" s="287">
        <v>1300</v>
      </c>
      <c r="G21" s="348">
        <v>4000</v>
      </c>
      <c r="H21" s="349">
        <v>2000</v>
      </c>
      <c r="I21" s="61"/>
      <c r="J21" s="358"/>
      <c r="K21" s="295"/>
      <c r="L21" s="295"/>
      <c r="S21" s="352"/>
    </row>
    <row r="22" spans="1:27" x14ac:dyDescent="0.25">
      <c r="A22" s="61"/>
      <c r="B22" s="61"/>
      <c r="C22" s="61"/>
      <c r="D22" s="356" t="s">
        <v>853</v>
      </c>
      <c r="E22" s="287">
        <v>-2526</v>
      </c>
      <c r="F22" s="287">
        <v>1300</v>
      </c>
      <c r="G22" s="348">
        <v>4000</v>
      </c>
      <c r="H22" s="349">
        <v>2541.67</v>
      </c>
      <c r="J22" s="358"/>
      <c r="K22" s="295"/>
      <c r="L22" s="295"/>
      <c r="S22" s="352"/>
    </row>
    <row r="23" spans="1:27" x14ac:dyDescent="0.25">
      <c r="A23" s="61"/>
      <c r="B23" s="61"/>
      <c r="C23" s="61"/>
      <c r="D23" s="356" t="s">
        <v>854</v>
      </c>
      <c r="E23" s="287">
        <v>-2060</v>
      </c>
      <c r="F23" s="359" t="s">
        <v>340</v>
      </c>
      <c r="G23" s="348">
        <v>4000</v>
      </c>
      <c r="H23" s="349">
        <v>1780</v>
      </c>
      <c r="J23" s="358"/>
      <c r="K23" s="295"/>
      <c r="L23" s="295"/>
      <c r="S23" s="352"/>
    </row>
    <row r="24" spans="1:27" x14ac:dyDescent="0.25">
      <c r="A24" s="61"/>
      <c r="B24" s="61"/>
      <c r="C24" s="61"/>
      <c r="D24" s="345" t="s">
        <v>565</v>
      </c>
      <c r="E24" s="287">
        <v>0</v>
      </c>
      <c r="F24" s="360" t="s">
        <v>340</v>
      </c>
      <c r="G24" s="348">
        <v>4000</v>
      </c>
      <c r="H24" s="349">
        <v>4000</v>
      </c>
      <c r="J24" s="358"/>
      <c r="K24" s="295"/>
      <c r="L24" s="295"/>
      <c r="S24" s="352"/>
    </row>
    <row r="25" spans="1:27" x14ac:dyDescent="0.25">
      <c r="A25" s="61"/>
      <c r="B25" s="61"/>
      <c r="C25" s="61"/>
      <c r="D25" s="345" t="s">
        <v>837</v>
      </c>
      <c r="E25" s="287">
        <v>-922</v>
      </c>
      <c r="F25" s="360" t="s">
        <v>340</v>
      </c>
      <c r="G25" s="348">
        <v>4000</v>
      </c>
      <c r="H25" s="349">
        <v>4000</v>
      </c>
      <c r="J25" s="358"/>
      <c r="K25" s="295"/>
      <c r="L25" s="295"/>
      <c r="S25" s="352"/>
    </row>
    <row r="26" spans="1:27" x14ac:dyDescent="0.25">
      <c r="A26" s="61"/>
      <c r="B26" s="61"/>
      <c r="C26" s="61"/>
      <c r="D26" s="345" t="s">
        <v>839</v>
      </c>
      <c r="E26" s="287">
        <v>-94</v>
      </c>
      <c r="F26" s="360" t="s">
        <v>340</v>
      </c>
      <c r="G26" s="348">
        <v>4000</v>
      </c>
      <c r="H26" s="349">
        <v>4000</v>
      </c>
      <c r="J26" s="358"/>
      <c r="K26" s="295"/>
      <c r="L26" s="295"/>
      <c r="S26" s="352"/>
    </row>
    <row r="27" spans="1:27" x14ac:dyDescent="0.25">
      <c r="A27" s="61"/>
      <c r="B27" s="61"/>
      <c r="C27" s="61"/>
      <c r="D27" s="345" t="s">
        <v>842</v>
      </c>
      <c r="E27" s="287">
        <v>-10243</v>
      </c>
      <c r="F27" s="287">
        <v>10571</v>
      </c>
      <c r="G27" s="348">
        <v>4000</v>
      </c>
      <c r="H27" s="349">
        <v>4000</v>
      </c>
      <c r="J27" s="358"/>
      <c r="K27" s="295"/>
      <c r="L27" s="295"/>
      <c r="S27" s="352"/>
      <c r="T27" s="658"/>
      <c r="U27" s="658"/>
    </row>
    <row r="28" spans="1:27" x14ac:dyDescent="0.25">
      <c r="A28" s="61"/>
      <c r="B28" s="61"/>
      <c r="C28" s="61"/>
      <c r="D28" s="345" t="s">
        <v>845</v>
      </c>
      <c r="E28" s="287">
        <v>-671</v>
      </c>
      <c r="F28" s="360"/>
      <c r="G28" s="348">
        <v>4000</v>
      </c>
      <c r="H28" s="349">
        <v>4000</v>
      </c>
      <c r="J28" s="358"/>
      <c r="K28" s="295"/>
      <c r="L28" s="295"/>
      <c r="S28" s="352"/>
    </row>
    <row r="29" spans="1:27" x14ac:dyDescent="0.25">
      <c r="D29" s="345" t="s">
        <v>847</v>
      </c>
      <c r="E29" s="287">
        <v>-670</v>
      </c>
      <c r="F29" s="287">
        <v>600</v>
      </c>
      <c r="G29" s="348">
        <v>4000</v>
      </c>
      <c r="H29" s="349">
        <v>4000</v>
      </c>
      <c r="J29" s="358"/>
      <c r="K29" s="295"/>
      <c r="L29" s="295"/>
      <c r="S29" s="352"/>
    </row>
    <row r="30" spans="1:27" x14ac:dyDescent="0.25">
      <c r="D30" s="345" t="s">
        <v>848</v>
      </c>
      <c r="E30" s="287">
        <v>-1194</v>
      </c>
      <c r="F30" s="360"/>
      <c r="G30" s="348">
        <v>4000</v>
      </c>
      <c r="H30" s="349">
        <v>4000</v>
      </c>
      <c r="J30" s="358"/>
      <c r="K30" s="295"/>
      <c r="L30" s="295"/>
      <c r="S30" s="352"/>
      <c r="U30" s="294">
        <f>(14/12)/30</f>
        <v>3.888888888888889E-2</v>
      </c>
    </row>
    <row r="31" spans="1:27" x14ac:dyDescent="0.25">
      <c r="D31" s="345" t="s">
        <v>850</v>
      </c>
      <c r="E31" s="287">
        <v>-2676</v>
      </c>
      <c r="F31" s="360"/>
      <c r="G31" s="348">
        <v>6000</v>
      </c>
      <c r="H31" s="349">
        <v>4000</v>
      </c>
      <c r="J31" s="358"/>
      <c r="K31" s="295"/>
      <c r="L31" s="295"/>
      <c r="S31" s="667" t="s">
        <v>857</v>
      </c>
      <c r="T31" s="667"/>
      <c r="U31" s="667"/>
      <c r="V31" s="667" t="s">
        <v>858</v>
      </c>
      <c r="W31" s="667"/>
      <c r="X31" s="667"/>
      <c r="Y31" s="667" t="s">
        <v>7</v>
      </c>
      <c r="Z31" s="667"/>
      <c r="AA31" s="667"/>
    </row>
    <row r="32" spans="1:27" x14ac:dyDescent="0.25">
      <c r="D32" s="345" t="s">
        <v>851</v>
      </c>
      <c r="E32" s="287">
        <v>-2095</v>
      </c>
      <c r="F32" s="59"/>
      <c r="G32" s="348">
        <v>6000</v>
      </c>
      <c r="H32" s="349">
        <v>8000</v>
      </c>
      <c r="J32" s="358"/>
      <c r="K32" s="295"/>
      <c r="L32" s="295"/>
      <c r="S32" s="663">
        <v>300000</v>
      </c>
      <c r="T32" s="663"/>
      <c r="U32" s="298">
        <v>43721</v>
      </c>
      <c r="V32" s="663">
        <v>150000</v>
      </c>
      <c r="W32" s="663"/>
      <c r="X32" s="298">
        <v>43714</v>
      </c>
      <c r="Y32" s="663">
        <v>100000</v>
      </c>
      <c r="Z32" s="663"/>
      <c r="AA32" s="298">
        <v>43714</v>
      </c>
    </row>
    <row r="33" spans="2:27" x14ac:dyDescent="0.25">
      <c r="D33" s="345" t="s">
        <v>852</v>
      </c>
      <c r="E33" s="287">
        <v>-11347</v>
      </c>
      <c r="F33" s="59"/>
      <c r="G33" s="348">
        <v>11000</v>
      </c>
      <c r="H33" s="349">
        <v>8000</v>
      </c>
      <c r="J33" s="358"/>
      <c r="K33" s="295"/>
      <c r="L33" s="295"/>
      <c r="S33" s="664" t="s">
        <v>859</v>
      </c>
      <c r="T33" s="665"/>
      <c r="U33" s="298">
        <v>43733</v>
      </c>
      <c r="V33" s="664" t="s">
        <v>859</v>
      </c>
      <c r="W33" s="665"/>
      <c r="X33" s="298">
        <v>43738</v>
      </c>
      <c r="Y33" s="664" t="s">
        <v>859</v>
      </c>
      <c r="Z33" s="665"/>
      <c r="AA33" s="298">
        <v>43738</v>
      </c>
    </row>
    <row r="34" spans="2:27" x14ac:dyDescent="0.25">
      <c r="D34" s="345" t="s">
        <v>853</v>
      </c>
      <c r="E34" s="287">
        <v>-9366</v>
      </c>
      <c r="F34" s="59"/>
      <c r="G34" s="348">
        <v>12000</v>
      </c>
      <c r="H34" s="349">
        <v>8000</v>
      </c>
      <c r="J34" s="296"/>
      <c r="K34" s="295"/>
      <c r="L34" s="295"/>
      <c r="S34" s="662" t="s">
        <v>860</v>
      </c>
      <c r="T34" s="662"/>
      <c r="U34" s="296">
        <f>_xlfn.DAYS(U33,U32)</f>
        <v>12</v>
      </c>
      <c r="V34" s="662" t="s">
        <v>860</v>
      </c>
      <c r="W34" s="662"/>
      <c r="X34" s="296">
        <f>X33-X32</f>
        <v>24</v>
      </c>
      <c r="Y34" s="662" t="s">
        <v>860</v>
      </c>
      <c r="Z34" s="662"/>
      <c r="AA34" s="296">
        <f>AA33-AA32</f>
        <v>24</v>
      </c>
    </row>
    <row r="35" spans="2:27" x14ac:dyDescent="0.25">
      <c r="D35" s="345" t="s">
        <v>854</v>
      </c>
      <c r="E35" s="287">
        <v>-10412</v>
      </c>
      <c r="F35" s="59"/>
      <c r="G35" s="348">
        <v>12000</v>
      </c>
      <c r="H35" s="349">
        <v>8000</v>
      </c>
      <c r="J35" s="361"/>
      <c r="S35" s="662" t="s">
        <v>861</v>
      </c>
      <c r="T35" s="662"/>
      <c r="U35" s="297">
        <f>U34*U30*S32/100</f>
        <v>1400</v>
      </c>
      <c r="V35" s="662" t="s">
        <v>861</v>
      </c>
      <c r="W35" s="662"/>
      <c r="X35" s="297">
        <f>X34*(1.5/30)*V32/100</f>
        <v>1800.0000000000002</v>
      </c>
      <c r="Y35" s="662" t="s">
        <v>861</v>
      </c>
      <c r="Z35" s="662"/>
      <c r="AA35" s="297">
        <f>AA34*(1.5/30)*Y32/100</f>
        <v>1200.0000000000002</v>
      </c>
    </row>
    <row r="36" spans="2:27" x14ac:dyDescent="0.25">
      <c r="D36" s="345" t="s">
        <v>565</v>
      </c>
      <c r="E36" s="287">
        <v>-10752</v>
      </c>
      <c r="F36" s="59"/>
      <c r="G36" s="348">
        <v>12000</v>
      </c>
      <c r="H36" s="349">
        <v>8000</v>
      </c>
      <c r="K36" s="283"/>
      <c r="S36" s="352"/>
    </row>
    <row r="37" spans="2:27" x14ac:dyDescent="0.25">
      <c r="D37" s="345" t="s">
        <v>837</v>
      </c>
      <c r="E37" s="287">
        <v>-10731</v>
      </c>
      <c r="F37" s="59"/>
      <c r="G37" s="348">
        <v>12000</v>
      </c>
      <c r="H37" s="349">
        <v>8000</v>
      </c>
      <c r="K37" s="283"/>
      <c r="S37" s="352"/>
    </row>
    <row r="38" spans="2:27" x14ac:dyDescent="0.25">
      <c r="D38" s="345" t="s">
        <v>839</v>
      </c>
      <c r="E38" s="287">
        <v>-5436</v>
      </c>
      <c r="F38" s="59"/>
      <c r="G38" s="348">
        <v>12000</v>
      </c>
      <c r="H38" s="349">
        <v>8000</v>
      </c>
      <c r="K38" s="283"/>
      <c r="S38" s="294">
        <v>3500</v>
      </c>
    </row>
    <row r="39" spans="2:27" x14ac:dyDescent="0.25">
      <c r="B39" s="361"/>
      <c r="C39" s="361"/>
      <c r="D39" s="345" t="s">
        <v>842</v>
      </c>
      <c r="E39" s="287">
        <v>-2115</v>
      </c>
      <c r="F39" s="59"/>
      <c r="G39" s="348">
        <v>12000</v>
      </c>
      <c r="H39" s="349">
        <v>8000</v>
      </c>
      <c r="I39" s="361"/>
      <c r="K39" s="283"/>
      <c r="L39" s="294">
        <v>3800</v>
      </c>
      <c r="M39" s="294">
        <v>5875</v>
      </c>
      <c r="S39" s="294">
        <v>1756</v>
      </c>
    </row>
    <row r="40" spans="2:27" x14ac:dyDescent="0.25">
      <c r="B40" s="361"/>
      <c r="C40" s="361"/>
      <c r="D40" s="345" t="s">
        <v>845</v>
      </c>
      <c r="E40" s="287">
        <v>-11490</v>
      </c>
      <c r="F40" s="59"/>
      <c r="G40" s="348">
        <v>12000</v>
      </c>
      <c r="H40" s="349">
        <v>8000</v>
      </c>
      <c r="I40" s="361"/>
      <c r="K40" s="283"/>
      <c r="L40" s="294">
        <f>L39*400</f>
        <v>1520000</v>
      </c>
      <c r="M40" s="294">
        <f>M39*400</f>
        <v>2350000</v>
      </c>
      <c r="N40" s="294" t="s">
        <v>862</v>
      </c>
      <c r="O40" s="294" t="s">
        <v>863</v>
      </c>
    </row>
    <row r="41" spans="2:27" x14ac:dyDescent="0.25">
      <c r="B41" s="361"/>
      <c r="C41" s="361"/>
      <c r="D41" s="345" t="s">
        <v>847</v>
      </c>
      <c r="E41" s="287">
        <v>-6356</v>
      </c>
      <c r="F41" s="59"/>
      <c r="G41" s="348">
        <v>12000</v>
      </c>
      <c r="H41" s="349">
        <v>4000</v>
      </c>
      <c r="I41" s="286"/>
      <c r="K41" s="283" t="s">
        <v>864</v>
      </c>
      <c r="L41" s="294">
        <f>900000/L39</f>
        <v>236.84210526315789</v>
      </c>
      <c r="M41" s="294">
        <f>L41*M39</f>
        <v>1391447.3684210526</v>
      </c>
      <c r="N41" s="294">
        <f>M41-900000</f>
        <v>491447.36842105258</v>
      </c>
      <c r="O41" s="294">
        <f>N41*100/900000</f>
        <v>54.605263157894726</v>
      </c>
    </row>
    <row r="42" spans="2:27" x14ac:dyDescent="0.25">
      <c r="B42" s="361"/>
      <c r="C42" s="361"/>
      <c r="D42" s="345" t="s">
        <v>848</v>
      </c>
      <c r="E42" s="287">
        <v>-6313</v>
      </c>
      <c r="F42" s="59"/>
      <c r="G42" s="348">
        <v>12000</v>
      </c>
      <c r="H42" s="349">
        <v>4000</v>
      </c>
      <c r="I42" s="286"/>
      <c r="K42" s="283" t="s">
        <v>865</v>
      </c>
      <c r="L42" s="294">
        <f>620000/L39</f>
        <v>163.15789473684211</v>
      </c>
      <c r="M42" s="294">
        <f>L42*M39</f>
        <v>958552.63157894742</v>
      </c>
      <c r="N42" s="294">
        <f>M42-620000</f>
        <v>338552.63157894742</v>
      </c>
      <c r="O42" s="294">
        <f>N42*100/620000</f>
        <v>54.605263157894754</v>
      </c>
    </row>
    <row r="43" spans="2:27" x14ac:dyDescent="0.25">
      <c r="B43" s="361"/>
      <c r="C43" s="361"/>
      <c r="D43" s="345" t="s">
        <v>850</v>
      </c>
      <c r="E43" s="287">
        <v>-4643</v>
      </c>
      <c r="F43" s="59"/>
      <c r="G43" s="348">
        <v>12000</v>
      </c>
      <c r="H43" s="349">
        <v>8000</v>
      </c>
      <c r="I43" s="286"/>
      <c r="K43" s="283"/>
      <c r="S43" s="352"/>
    </row>
    <row r="44" spans="2:27" x14ac:dyDescent="0.25">
      <c r="B44" s="361"/>
      <c r="C44" s="361"/>
      <c r="D44" s="345" t="s">
        <v>851</v>
      </c>
      <c r="E44" s="59">
        <v>0</v>
      </c>
      <c r="F44" s="59"/>
      <c r="G44" s="348">
        <v>12000</v>
      </c>
      <c r="H44" s="349">
        <v>8000</v>
      </c>
      <c r="I44" s="286"/>
      <c r="J44" s="294" t="s">
        <v>853</v>
      </c>
      <c r="K44" s="283" t="s">
        <v>854</v>
      </c>
      <c r="L44" s="294" t="s">
        <v>565</v>
      </c>
      <c r="M44" s="294" t="s">
        <v>837</v>
      </c>
      <c r="N44" s="294" t="s">
        <v>839</v>
      </c>
    </row>
    <row r="45" spans="2:27" x14ac:dyDescent="0.25">
      <c r="B45" s="361"/>
      <c r="C45" s="361"/>
      <c r="D45" s="345" t="s">
        <v>852</v>
      </c>
      <c r="E45" s="287">
        <v>-7593</v>
      </c>
      <c r="F45" s="59">
        <v>3813</v>
      </c>
      <c r="G45" s="362">
        <v>12000</v>
      </c>
      <c r="H45" s="349">
        <v>8000</v>
      </c>
      <c r="I45" s="286"/>
      <c r="J45" s="294">
        <f>G45*2/100</f>
        <v>240</v>
      </c>
      <c r="K45" s="294">
        <v>240</v>
      </c>
      <c r="L45" s="294">
        <v>240</v>
      </c>
      <c r="M45" s="294">
        <v>240</v>
      </c>
      <c r="N45" s="294">
        <v>240</v>
      </c>
    </row>
    <row r="46" spans="2:27" x14ac:dyDescent="0.25">
      <c r="B46" s="361"/>
      <c r="C46" s="361"/>
      <c r="D46" s="345" t="s">
        <v>853</v>
      </c>
      <c r="E46" s="287">
        <v>-9094</v>
      </c>
      <c r="F46" s="59">
        <v>3813</v>
      </c>
      <c r="G46" s="362">
        <v>12000</v>
      </c>
      <c r="H46" s="349">
        <v>4000</v>
      </c>
      <c r="I46" s="286"/>
      <c r="K46" s="283">
        <v>240</v>
      </c>
      <c r="L46" s="294">
        <v>240</v>
      </c>
      <c r="M46" s="294">
        <v>240</v>
      </c>
      <c r="N46" s="294">
        <v>240</v>
      </c>
    </row>
    <row r="47" spans="2:27" x14ac:dyDescent="0.25">
      <c r="B47" s="361"/>
      <c r="C47" s="361"/>
      <c r="D47" s="345" t="s">
        <v>854</v>
      </c>
      <c r="E47" s="287">
        <v>-8185</v>
      </c>
      <c r="F47" s="59"/>
      <c r="G47" s="362">
        <v>12000</v>
      </c>
      <c r="H47" s="349">
        <v>4000</v>
      </c>
      <c r="I47" s="286"/>
      <c r="K47" s="283"/>
    </row>
    <row r="48" spans="2:27" x14ac:dyDescent="0.25">
      <c r="B48" s="361"/>
      <c r="C48" s="361"/>
      <c r="D48" s="345" t="s">
        <v>565</v>
      </c>
      <c r="E48" s="287">
        <v>-11081</v>
      </c>
      <c r="F48" s="59"/>
      <c r="G48" s="362">
        <v>12000</v>
      </c>
      <c r="H48" s="349">
        <v>4000</v>
      </c>
      <c r="I48" s="286"/>
      <c r="K48" s="283"/>
      <c r="M48" s="363"/>
      <c r="T48" s="358" t="s">
        <v>1</v>
      </c>
      <c r="U48" s="358" t="s">
        <v>866</v>
      </c>
      <c r="V48" s="358" t="s">
        <v>624</v>
      </c>
      <c r="W48" s="358" t="s">
        <v>4</v>
      </c>
      <c r="X48" s="422" t="s">
        <v>867</v>
      </c>
      <c r="Y48" s="422" t="s">
        <v>208</v>
      </c>
    </row>
    <row r="49" spans="2:25" x14ac:dyDescent="0.25">
      <c r="B49" s="361"/>
      <c r="C49" s="361"/>
      <c r="D49" s="345" t="s">
        <v>837</v>
      </c>
      <c r="E49" s="287">
        <v>-11333</v>
      </c>
      <c r="F49" s="59"/>
      <c r="G49" s="362">
        <v>12000</v>
      </c>
      <c r="H49" s="349">
        <v>4000</v>
      </c>
      <c r="I49" s="286"/>
      <c r="K49" s="73"/>
      <c r="L49" s="358"/>
      <c r="M49" s="421" t="s">
        <v>352</v>
      </c>
      <c r="N49" s="358" t="s">
        <v>17</v>
      </c>
      <c r="O49" s="358" t="s">
        <v>15</v>
      </c>
      <c r="P49" s="358" t="s">
        <v>868</v>
      </c>
      <c r="T49" s="415">
        <v>44112</v>
      </c>
      <c r="U49" s="416">
        <v>18205</v>
      </c>
      <c r="V49" s="417" t="s">
        <v>869</v>
      </c>
      <c r="W49" s="418">
        <v>12205</v>
      </c>
      <c r="X49" s="418">
        <v>6000</v>
      </c>
      <c r="Y49" s="296" t="s">
        <v>570</v>
      </c>
    </row>
    <row r="50" spans="2:25" x14ac:dyDescent="0.25">
      <c r="B50" s="361"/>
      <c r="C50" s="361"/>
      <c r="D50" s="345" t="s">
        <v>839</v>
      </c>
      <c r="E50" s="287">
        <v>-12778</v>
      </c>
      <c r="F50" s="59"/>
      <c r="G50" s="362">
        <v>12000</v>
      </c>
      <c r="H50" s="349">
        <v>4000</v>
      </c>
      <c r="I50" s="286"/>
      <c r="K50" s="669">
        <v>2020</v>
      </c>
      <c r="L50" s="296" t="s">
        <v>851</v>
      </c>
      <c r="M50" s="364">
        <v>600000</v>
      </c>
      <c r="N50" s="364">
        <v>0</v>
      </c>
      <c r="O50" s="387"/>
      <c r="P50" s="387"/>
      <c r="Q50" s="406"/>
      <c r="T50" s="409">
        <v>44147</v>
      </c>
      <c r="U50" s="295">
        <v>6000</v>
      </c>
      <c r="V50" s="364" t="s">
        <v>869</v>
      </c>
      <c r="W50" s="296">
        <v>0</v>
      </c>
      <c r="X50" s="296">
        <v>6000</v>
      </c>
      <c r="Y50" s="296" t="s">
        <v>571</v>
      </c>
    </row>
    <row r="51" spans="2:25" x14ac:dyDescent="0.25">
      <c r="B51" s="361"/>
      <c r="C51" s="361"/>
      <c r="D51" s="345" t="s">
        <v>842</v>
      </c>
      <c r="E51" s="287">
        <v>-12687</v>
      </c>
      <c r="F51" s="59"/>
      <c r="G51" s="362">
        <v>12000</v>
      </c>
      <c r="H51" s="349">
        <v>4000</v>
      </c>
      <c r="I51" s="286"/>
      <c r="K51" s="669"/>
      <c r="L51" s="296" t="s">
        <v>852</v>
      </c>
      <c r="M51" s="364">
        <f>M50+N50</f>
        <v>600000</v>
      </c>
      <c r="N51" s="364">
        <f>M51*2/100</f>
        <v>12000</v>
      </c>
      <c r="O51" s="387"/>
      <c r="P51" s="387"/>
      <c r="Q51" s="406"/>
      <c r="T51" s="409">
        <v>44162</v>
      </c>
      <c r="U51" s="295">
        <v>10000</v>
      </c>
      <c r="V51" s="364" t="s">
        <v>869</v>
      </c>
      <c r="W51" s="296">
        <v>10000</v>
      </c>
      <c r="X51" s="296">
        <v>0</v>
      </c>
      <c r="Y51" s="296"/>
    </row>
    <row r="52" spans="2:25" x14ac:dyDescent="0.25">
      <c r="B52" s="361"/>
      <c r="C52" s="361"/>
      <c r="D52" s="345" t="s">
        <v>845</v>
      </c>
      <c r="E52" s="287">
        <v>-11655</v>
      </c>
      <c r="F52" s="59"/>
      <c r="G52" s="362">
        <v>12000</v>
      </c>
      <c r="H52" s="349">
        <v>4000</v>
      </c>
      <c r="I52" s="286"/>
      <c r="K52" s="669"/>
      <c r="L52" s="296" t="s">
        <v>853</v>
      </c>
      <c r="M52" s="364">
        <f>M51+N51+30000</f>
        <v>642000</v>
      </c>
      <c r="N52" s="364">
        <f t="shared" ref="N52:N56" si="0">M52*2/100</f>
        <v>12840</v>
      </c>
      <c r="O52" s="387"/>
      <c r="P52" s="387"/>
      <c r="Q52" s="406"/>
      <c r="T52" s="415">
        <v>44175</v>
      </c>
      <c r="U52" s="416">
        <v>6000</v>
      </c>
      <c r="V52" s="419" t="s">
        <v>869</v>
      </c>
      <c r="W52" s="418">
        <v>0</v>
      </c>
      <c r="X52" s="418">
        <v>6000</v>
      </c>
      <c r="Y52" s="296" t="s">
        <v>560</v>
      </c>
    </row>
    <row r="53" spans="2:25" x14ac:dyDescent="0.25">
      <c r="B53" s="361"/>
      <c r="C53" s="361"/>
      <c r="D53" s="345" t="s">
        <v>847</v>
      </c>
      <c r="E53" s="59"/>
      <c r="F53" s="59"/>
      <c r="G53" s="362">
        <v>12000</v>
      </c>
      <c r="H53" s="349">
        <v>4000</v>
      </c>
      <c r="I53" s="286"/>
      <c r="K53" s="669"/>
      <c r="L53" s="296" t="s">
        <v>854</v>
      </c>
      <c r="M53" s="364">
        <f t="shared" ref="M53:M56" si="1">M52+N52</f>
        <v>654840</v>
      </c>
      <c r="N53" s="364">
        <f t="shared" si="0"/>
        <v>13096.8</v>
      </c>
      <c r="O53" s="387"/>
      <c r="P53" s="387"/>
      <c r="Q53" s="406"/>
      <c r="T53" s="415">
        <v>44175</v>
      </c>
      <c r="U53" s="416">
        <v>10000</v>
      </c>
      <c r="V53" s="419" t="s">
        <v>869</v>
      </c>
      <c r="W53" s="418">
        <v>10000</v>
      </c>
      <c r="X53" s="418">
        <v>0</v>
      </c>
      <c r="Y53" s="296"/>
    </row>
    <row r="54" spans="2:25" x14ac:dyDescent="0.25">
      <c r="B54" s="361"/>
      <c r="C54" s="361"/>
      <c r="D54" s="345" t="s">
        <v>848</v>
      </c>
      <c r="E54" s="59"/>
      <c r="F54" s="59"/>
      <c r="G54" s="362">
        <v>14000</v>
      </c>
      <c r="H54" s="346">
        <v>6000</v>
      </c>
      <c r="I54" s="286"/>
      <c r="K54" s="669"/>
      <c r="L54" s="296" t="s">
        <v>565</v>
      </c>
      <c r="M54" s="364">
        <f t="shared" si="1"/>
        <v>667936.80000000005</v>
      </c>
      <c r="N54" s="364">
        <f t="shared" si="0"/>
        <v>13358.736000000001</v>
      </c>
      <c r="O54" s="387"/>
      <c r="P54" s="387"/>
      <c r="Q54" s="406"/>
      <c r="T54" s="415">
        <v>44177</v>
      </c>
      <c r="U54" s="416">
        <v>20000</v>
      </c>
      <c r="V54" s="419" t="s">
        <v>869</v>
      </c>
      <c r="W54" s="418">
        <v>20000</v>
      </c>
      <c r="X54" s="418">
        <v>0</v>
      </c>
      <c r="Y54" s="296"/>
    </row>
    <row r="55" spans="2:25" x14ac:dyDescent="0.25">
      <c r="B55" s="361"/>
      <c r="C55" s="361"/>
      <c r="D55" s="345" t="s">
        <v>850</v>
      </c>
      <c r="E55" s="59"/>
      <c r="F55" s="59"/>
      <c r="G55" s="362"/>
      <c r="H55" s="346"/>
      <c r="I55" s="286"/>
      <c r="K55" s="669"/>
      <c r="L55" s="296" t="s">
        <v>837</v>
      </c>
      <c r="M55" s="364">
        <f t="shared" si="1"/>
        <v>681295.53600000008</v>
      </c>
      <c r="N55" s="364">
        <f t="shared" si="0"/>
        <v>13625.910720000002</v>
      </c>
      <c r="O55" s="387"/>
      <c r="P55" s="387"/>
      <c r="Q55" s="406"/>
      <c r="T55" s="415">
        <v>44180</v>
      </c>
      <c r="U55" s="416">
        <v>20000</v>
      </c>
      <c r="V55" s="419" t="s">
        <v>869</v>
      </c>
      <c r="W55" s="418">
        <v>20000</v>
      </c>
      <c r="X55" s="418">
        <v>0</v>
      </c>
      <c r="Y55" s="296"/>
    </row>
    <row r="56" spans="2:25" x14ac:dyDescent="0.25">
      <c r="B56" s="361"/>
      <c r="C56" s="361"/>
      <c r="D56" s="345" t="s">
        <v>851</v>
      </c>
      <c r="E56" s="59"/>
      <c r="F56" s="59"/>
      <c r="G56" s="362"/>
      <c r="H56" s="346"/>
      <c r="I56" s="286"/>
      <c r="K56" s="669"/>
      <c r="L56" s="296" t="s">
        <v>839</v>
      </c>
      <c r="M56" s="364">
        <f t="shared" si="1"/>
        <v>694921.44672000012</v>
      </c>
      <c r="N56" s="364">
        <f t="shared" si="0"/>
        <v>13898.428934400003</v>
      </c>
      <c r="O56" s="387"/>
      <c r="P56" s="387"/>
      <c r="Q56" s="406"/>
      <c r="T56" s="409">
        <v>44204</v>
      </c>
      <c r="U56" s="295">
        <v>6000</v>
      </c>
      <c r="V56" s="364" t="s">
        <v>869</v>
      </c>
      <c r="W56" s="296">
        <v>0</v>
      </c>
      <c r="X56" s="296">
        <v>6000</v>
      </c>
      <c r="Y56" s="296" t="s">
        <v>561</v>
      </c>
    </row>
    <row r="57" spans="2:25" x14ac:dyDescent="0.25">
      <c r="B57" s="361"/>
      <c r="C57" s="361"/>
      <c r="D57" s="345" t="s">
        <v>852</v>
      </c>
      <c r="E57" s="59"/>
      <c r="F57" s="59"/>
      <c r="G57" s="362"/>
      <c r="H57" s="346"/>
      <c r="I57" s="286"/>
      <c r="K57" s="669"/>
      <c r="L57" s="296" t="s">
        <v>842</v>
      </c>
      <c r="M57" s="364">
        <f t="shared" ref="M57" si="2">M56+N56</f>
        <v>708819.87565440009</v>
      </c>
      <c r="N57" s="364">
        <f t="shared" ref="N57" si="3">M57*2/100</f>
        <v>14176.397513088003</v>
      </c>
      <c r="O57" s="387"/>
      <c r="P57" s="387"/>
      <c r="Q57" s="406"/>
      <c r="T57" s="415">
        <v>44236</v>
      </c>
      <c r="U57" s="416">
        <v>6000</v>
      </c>
      <c r="V57" s="419" t="s">
        <v>869</v>
      </c>
      <c r="W57" s="418">
        <v>0</v>
      </c>
      <c r="X57" s="418">
        <v>6000</v>
      </c>
      <c r="Y57" s="296" t="s">
        <v>562</v>
      </c>
    </row>
    <row r="58" spans="2:25" x14ac:dyDescent="0.25">
      <c r="B58" s="361"/>
      <c r="C58" s="361"/>
      <c r="D58" s="345" t="s">
        <v>853</v>
      </c>
      <c r="E58" s="59"/>
      <c r="F58" s="59"/>
      <c r="G58" s="362"/>
      <c r="H58" s="346"/>
      <c r="I58" s="286"/>
      <c r="K58" s="669"/>
      <c r="L58" s="296" t="s">
        <v>845</v>
      </c>
      <c r="M58" s="364">
        <f t="shared" ref="M58" si="4">M57+N57</f>
        <v>722996.27316748805</v>
      </c>
      <c r="N58" s="364">
        <f t="shared" ref="N58" si="5">M58*2/100</f>
        <v>14459.92546334976</v>
      </c>
      <c r="O58" s="387"/>
      <c r="P58" s="387"/>
      <c r="Q58" s="406"/>
      <c r="T58" s="415">
        <v>44253</v>
      </c>
      <c r="U58" s="416">
        <v>25000</v>
      </c>
      <c r="V58" s="419" t="s">
        <v>870</v>
      </c>
      <c r="W58" s="418">
        <v>19000</v>
      </c>
      <c r="X58" s="418">
        <v>6000</v>
      </c>
      <c r="Y58" s="296"/>
    </row>
    <row r="59" spans="2:25" x14ac:dyDescent="0.25">
      <c r="B59" s="361"/>
      <c r="C59" s="361"/>
      <c r="D59" s="345" t="s">
        <v>854</v>
      </c>
      <c r="E59" s="59"/>
      <c r="F59" s="59"/>
      <c r="G59" s="362"/>
      <c r="H59" s="346"/>
      <c r="I59" s="286"/>
      <c r="K59" s="669"/>
      <c r="L59" s="296" t="s">
        <v>847</v>
      </c>
      <c r="M59" s="364">
        <f>M58+N58</f>
        <v>737456.19863083784</v>
      </c>
      <c r="N59" s="364">
        <f>M59*2/100</f>
        <v>14749.123972616757</v>
      </c>
      <c r="O59" s="413">
        <v>12205</v>
      </c>
      <c r="P59" s="387">
        <f>N59-O59</f>
        <v>2544.1239726167569</v>
      </c>
      <c r="Q59" s="407"/>
      <c r="T59" s="409">
        <v>44259</v>
      </c>
      <c r="U59" s="295">
        <v>11000</v>
      </c>
      <c r="V59" s="364" t="s">
        <v>870</v>
      </c>
      <c r="W59" s="296">
        <v>5000</v>
      </c>
      <c r="X59" s="296">
        <v>6000</v>
      </c>
      <c r="Y59" s="296" t="s">
        <v>563</v>
      </c>
    </row>
    <row r="60" spans="2:25" x14ac:dyDescent="0.25">
      <c r="B60" s="361"/>
      <c r="C60" s="361"/>
      <c r="D60" s="345" t="s">
        <v>565</v>
      </c>
      <c r="E60" s="59"/>
      <c r="F60" s="59"/>
      <c r="G60" s="362"/>
      <c r="H60" s="346"/>
      <c r="I60" s="286"/>
      <c r="K60" s="669"/>
      <c r="L60" s="296" t="s">
        <v>848</v>
      </c>
      <c r="M60" s="364">
        <f>M59+P59</f>
        <v>740000.32260345458</v>
      </c>
      <c r="N60" s="364">
        <f>(M60*2/100)</f>
        <v>14800.006452069092</v>
      </c>
      <c r="O60" s="413">
        <v>10000</v>
      </c>
      <c r="P60" s="387">
        <f>N60-O60</f>
        <v>4800.0064520690921</v>
      </c>
      <c r="Q60" s="407"/>
      <c r="T60" s="415">
        <v>44287</v>
      </c>
      <c r="U60" s="416">
        <v>20000</v>
      </c>
      <c r="V60" s="419" t="s">
        <v>870</v>
      </c>
      <c r="W60" s="418">
        <v>14000</v>
      </c>
      <c r="X60" s="418">
        <v>6000</v>
      </c>
      <c r="Y60" s="296" t="s">
        <v>564</v>
      </c>
    </row>
    <row r="61" spans="2:25" x14ac:dyDescent="0.25">
      <c r="B61" s="361"/>
      <c r="C61" s="361"/>
      <c r="D61" s="345" t="s">
        <v>837</v>
      </c>
      <c r="E61" s="59"/>
      <c r="F61" s="59"/>
      <c r="G61" s="362"/>
      <c r="H61" s="346"/>
      <c r="I61" s="286"/>
      <c r="K61" s="669"/>
      <c r="L61" s="296" t="s">
        <v>850</v>
      </c>
      <c r="M61" s="364">
        <f>M60+P60</f>
        <v>744800.32905552362</v>
      </c>
      <c r="N61" s="364">
        <f>M61*2/100</f>
        <v>14896.006581110472</v>
      </c>
      <c r="O61" s="414">
        <v>50000</v>
      </c>
      <c r="P61" s="388">
        <f>N61-O61</f>
        <v>-35103.993418889528</v>
      </c>
      <c r="Q61" s="408"/>
      <c r="T61" s="409">
        <v>44321</v>
      </c>
      <c r="U61" s="295">
        <v>6000</v>
      </c>
      <c r="V61" s="296" t="s">
        <v>870</v>
      </c>
      <c r="W61" s="296">
        <v>0</v>
      </c>
      <c r="X61" s="296">
        <v>6000</v>
      </c>
      <c r="Y61" s="296" t="s">
        <v>565</v>
      </c>
    </row>
    <row r="62" spans="2:25" x14ac:dyDescent="0.25">
      <c r="B62" s="361"/>
      <c r="C62" s="361"/>
      <c r="D62" s="345" t="s">
        <v>839</v>
      </c>
      <c r="E62" s="59"/>
      <c r="F62" s="59"/>
      <c r="G62" s="362"/>
      <c r="H62" s="346"/>
      <c r="I62" s="286"/>
      <c r="K62" s="668">
        <v>2021</v>
      </c>
      <c r="L62" s="296" t="s">
        <v>851</v>
      </c>
      <c r="M62" s="364">
        <f>M61+P61</f>
        <v>709696.33563663415</v>
      </c>
      <c r="N62" s="364">
        <f t="shared" ref="N62" si="6">M62*2/100</f>
        <v>14193.926712732682</v>
      </c>
      <c r="O62" s="413">
        <v>0</v>
      </c>
      <c r="P62" s="388">
        <f t="shared" ref="P62:P75" si="7">N62-O62</f>
        <v>14193.926712732682</v>
      </c>
      <c r="Q62" s="407"/>
      <c r="T62" s="409">
        <v>44333</v>
      </c>
      <c r="U62" s="295">
        <v>20000</v>
      </c>
      <c r="V62" s="364" t="s">
        <v>869</v>
      </c>
      <c r="W62" s="296">
        <v>20000</v>
      </c>
      <c r="X62" s="296">
        <v>0</v>
      </c>
      <c r="Y62" s="296"/>
    </row>
    <row r="63" spans="2:25" x14ac:dyDescent="0.25">
      <c r="B63" s="361"/>
      <c r="C63" s="361"/>
      <c r="D63" s="345" t="s">
        <v>842</v>
      </c>
      <c r="E63" s="59"/>
      <c r="F63" s="59"/>
      <c r="G63" s="362"/>
      <c r="H63" s="346"/>
      <c r="I63" s="286"/>
      <c r="K63" s="668"/>
      <c r="L63" s="296" t="s">
        <v>852</v>
      </c>
      <c r="M63" s="364">
        <f>M62+P62</f>
        <v>723890.26234936679</v>
      </c>
      <c r="N63" s="364">
        <f>M63*2/100</f>
        <v>14477.805246987336</v>
      </c>
      <c r="O63" s="413">
        <v>19000</v>
      </c>
      <c r="P63" s="388">
        <f t="shared" si="7"/>
        <v>-4522.1947530126636</v>
      </c>
      <c r="Q63" s="407"/>
      <c r="T63" s="415">
        <v>44354</v>
      </c>
      <c r="U63" s="416">
        <v>6000</v>
      </c>
      <c r="V63" s="418" t="s">
        <v>870</v>
      </c>
      <c r="W63" s="418">
        <v>0</v>
      </c>
      <c r="X63" s="418">
        <v>6000</v>
      </c>
      <c r="Y63" s="296" t="s">
        <v>566</v>
      </c>
    </row>
    <row r="64" spans="2:25" x14ac:dyDescent="0.25">
      <c r="B64" s="361"/>
      <c r="C64" s="361"/>
      <c r="D64" s="345" t="s">
        <v>845</v>
      </c>
      <c r="E64" s="59"/>
      <c r="F64" s="59"/>
      <c r="G64" s="362"/>
      <c r="H64" s="346"/>
      <c r="I64" s="286"/>
      <c r="K64" s="668"/>
      <c r="L64" s="296" t="s">
        <v>853</v>
      </c>
      <c r="M64" s="364">
        <f t="shared" ref="M64:M75" si="8">M63+P63</f>
        <v>719368.06759635417</v>
      </c>
      <c r="N64" s="364">
        <f>M64*2/100</f>
        <v>14387.361351927084</v>
      </c>
      <c r="O64" s="413">
        <v>5000</v>
      </c>
      <c r="P64" s="388">
        <f t="shared" si="7"/>
        <v>9387.3613519270839</v>
      </c>
      <c r="Q64" s="407"/>
      <c r="T64" s="415">
        <v>44366</v>
      </c>
      <c r="U64" s="416">
        <v>20000</v>
      </c>
      <c r="V64" s="419" t="s">
        <v>869</v>
      </c>
      <c r="W64" s="418">
        <v>20000</v>
      </c>
      <c r="X64" s="418">
        <v>0</v>
      </c>
      <c r="Y64" s="296"/>
    </row>
    <row r="65" spans="2:28" x14ac:dyDescent="0.25">
      <c r="B65" s="361"/>
      <c r="C65" s="361"/>
      <c r="D65" s="345" t="s">
        <v>847</v>
      </c>
      <c r="E65" s="59"/>
      <c r="F65" s="59"/>
      <c r="G65" s="362"/>
      <c r="H65" s="346"/>
      <c r="I65" s="286"/>
      <c r="J65" s="361"/>
      <c r="K65" s="668"/>
      <c r="L65" s="296" t="s">
        <v>854</v>
      </c>
      <c r="M65" s="364">
        <f t="shared" si="8"/>
        <v>728755.42894828122</v>
      </c>
      <c r="N65" s="364">
        <f>M65*2/100</f>
        <v>14575.108578965624</v>
      </c>
      <c r="O65" s="413">
        <v>14000</v>
      </c>
      <c r="P65" s="388">
        <f t="shared" si="7"/>
        <v>575.10857896562447</v>
      </c>
      <c r="Q65" s="407"/>
      <c r="T65" s="409">
        <v>44382</v>
      </c>
      <c r="U65" s="295">
        <v>6000</v>
      </c>
      <c r="V65" s="296" t="s">
        <v>870</v>
      </c>
      <c r="W65" s="296">
        <v>0</v>
      </c>
      <c r="X65" s="296">
        <v>6000</v>
      </c>
      <c r="Y65" s="296" t="s">
        <v>567</v>
      </c>
    </row>
    <row r="66" spans="2:28" x14ac:dyDescent="0.25">
      <c r="B66" s="361"/>
      <c r="C66" s="361"/>
      <c r="D66" s="345" t="s">
        <v>848</v>
      </c>
      <c r="E66" s="59"/>
      <c r="F66" s="59"/>
      <c r="G66" s="362"/>
      <c r="H66" s="346"/>
      <c r="I66" s="286"/>
      <c r="J66" s="361"/>
      <c r="K66" s="668"/>
      <c r="L66" s="296" t="s">
        <v>565</v>
      </c>
      <c r="M66" s="364">
        <f t="shared" si="8"/>
        <v>729330.53752724687</v>
      </c>
      <c r="N66" s="364">
        <f t="shared" ref="N66:N85" si="9">M66*2/100</f>
        <v>14586.610750544938</v>
      </c>
      <c r="O66" s="413">
        <v>20000</v>
      </c>
      <c r="P66" s="388">
        <f t="shared" si="7"/>
        <v>-5413.3892494550619</v>
      </c>
      <c r="Q66" s="407"/>
      <c r="T66" s="409">
        <v>44407</v>
      </c>
      <c r="U66" s="295">
        <v>14000</v>
      </c>
      <c r="V66" s="296" t="s">
        <v>870</v>
      </c>
      <c r="W66" s="296">
        <v>14000</v>
      </c>
      <c r="X66" s="296">
        <v>0</v>
      </c>
      <c r="Y66" s="296"/>
    </row>
    <row r="67" spans="2:28" x14ac:dyDescent="0.25">
      <c r="B67" s="361"/>
      <c r="C67" s="361"/>
      <c r="D67" s="345" t="s">
        <v>850</v>
      </c>
      <c r="E67" s="59"/>
      <c r="F67" s="59"/>
      <c r="G67" s="362"/>
      <c r="H67" s="346"/>
      <c r="I67" s="286"/>
      <c r="J67" s="361"/>
      <c r="K67" s="668"/>
      <c r="L67" s="296" t="s">
        <v>837</v>
      </c>
      <c r="M67" s="364">
        <f t="shared" si="8"/>
        <v>723917.1482777918</v>
      </c>
      <c r="N67" s="364">
        <f t="shared" si="9"/>
        <v>14478.342965555836</v>
      </c>
      <c r="O67" s="413">
        <v>20000</v>
      </c>
      <c r="P67" s="388">
        <f t="shared" si="7"/>
        <v>-5521.6570344441643</v>
      </c>
      <c r="Q67" s="407"/>
      <c r="T67" s="415">
        <v>44417</v>
      </c>
      <c r="U67" s="416">
        <v>10000</v>
      </c>
      <c r="V67" s="419" t="s">
        <v>869</v>
      </c>
      <c r="W67" s="418">
        <v>4000</v>
      </c>
      <c r="X67" s="418">
        <v>6000</v>
      </c>
      <c r="Y67" s="296" t="s">
        <v>568</v>
      </c>
    </row>
    <row r="68" spans="2:28" ht="15.75" thickBot="1" x14ac:dyDescent="0.3">
      <c r="B68" s="361"/>
      <c r="C68" s="361"/>
      <c r="D68" s="354"/>
      <c r="E68" s="365">
        <f>SUM(E2:E67)</f>
        <v>-275159.58</v>
      </c>
      <c r="F68" s="365">
        <f t="shared" ref="F68:H68" si="10">SUM(F2:F67)</f>
        <v>88397</v>
      </c>
      <c r="G68" s="365">
        <f t="shared" si="10"/>
        <v>385000</v>
      </c>
      <c r="H68" s="365">
        <f t="shared" si="10"/>
        <v>186321.66999999998</v>
      </c>
      <c r="I68" s="286"/>
      <c r="J68" s="361"/>
      <c r="K68" s="668"/>
      <c r="L68" s="296" t="s">
        <v>839</v>
      </c>
      <c r="M68" s="364">
        <f t="shared" si="8"/>
        <v>718395.49124334764</v>
      </c>
      <c r="N68" s="364">
        <f t="shared" si="9"/>
        <v>14367.909824866952</v>
      </c>
      <c r="O68" s="413">
        <v>14000</v>
      </c>
      <c r="P68" s="388">
        <f t="shared" si="7"/>
        <v>367.90982486695248</v>
      </c>
      <c r="Q68" s="407"/>
      <c r="T68" s="415">
        <v>44439</v>
      </c>
      <c r="U68" s="416">
        <v>20000</v>
      </c>
      <c r="V68" s="418" t="s">
        <v>870</v>
      </c>
      <c r="W68" s="418">
        <v>20000</v>
      </c>
      <c r="X68" s="418">
        <v>0</v>
      </c>
      <c r="Y68" s="296"/>
    </row>
    <row r="69" spans="2:28" ht="15.75" thickBot="1" x14ac:dyDescent="0.3">
      <c r="B69" s="361"/>
      <c r="C69" s="361"/>
      <c r="D69" s="61"/>
      <c r="E69" s="61"/>
      <c r="F69" s="61"/>
      <c r="G69" s="61"/>
      <c r="H69" s="61"/>
      <c r="I69" s="286"/>
      <c r="J69" s="361"/>
      <c r="K69" s="668"/>
      <c r="L69" s="296" t="s">
        <v>842</v>
      </c>
      <c r="M69" s="364">
        <f t="shared" si="8"/>
        <v>718763.40106821456</v>
      </c>
      <c r="N69" s="364">
        <f t="shared" si="9"/>
        <v>14375.268021364291</v>
      </c>
      <c r="O69" s="413">
        <v>24000</v>
      </c>
      <c r="P69" s="388">
        <f t="shared" si="7"/>
        <v>-9624.7319786357093</v>
      </c>
      <c r="Q69" s="407"/>
      <c r="T69" s="420">
        <v>44440</v>
      </c>
      <c r="U69" s="410">
        <v>0</v>
      </c>
      <c r="V69" s="411" t="s">
        <v>871</v>
      </c>
      <c r="W69" s="411">
        <v>0</v>
      </c>
      <c r="X69" s="411">
        <v>0</v>
      </c>
      <c r="Y69" s="296" t="s">
        <v>569</v>
      </c>
    </row>
    <row r="70" spans="2:28" x14ac:dyDescent="0.25">
      <c r="B70" s="361"/>
      <c r="C70" s="361"/>
      <c r="D70" s="61"/>
      <c r="E70" s="336" t="s">
        <v>872</v>
      </c>
      <c r="F70" s="337">
        <f>SUM(E68:H68)-(-F71+2000)</f>
        <v>371109.08999999997</v>
      </c>
      <c r="G70" s="61"/>
      <c r="H70" s="61"/>
      <c r="I70" s="286"/>
      <c r="J70" s="361"/>
      <c r="K70" s="668"/>
      <c r="L70" s="296" t="s">
        <v>845</v>
      </c>
      <c r="M70" s="364">
        <f t="shared" si="8"/>
        <v>709138.66908957891</v>
      </c>
      <c r="N70" s="364">
        <f t="shared" si="9"/>
        <v>14182.773381791578</v>
      </c>
      <c r="O70" s="413">
        <v>0</v>
      </c>
      <c r="P70" s="388">
        <f t="shared" si="7"/>
        <v>14182.773381791578</v>
      </c>
      <c r="Q70" s="407"/>
      <c r="T70" s="415">
        <v>44471</v>
      </c>
      <c r="U70" s="416">
        <v>20000</v>
      </c>
      <c r="V70" s="419" t="s">
        <v>869</v>
      </c>
      <c r="W70" s="418">
        <v>8000</v>
      </c>
      <c r="X70" s="418">
        <v>12000</v>
      </c>
      <c r="Y70" s="296" t="s">
        <v>570</v>
      </c>
      <c r="AB70" s="294">
        <f>17*6000</f>
        <v>102000</v>
      </c>
    </row>
    <row r="71" spans="2:28" ht="15.75" thickBot="1" x14ac:dyDescent="0.3">
      <c r="B71" s="361"/>
      <c r="C71" s="361"/>
      <c r="D71" s="61"/>
      <c r="E71" s="354" t="s">
        <v>873</v>
      </c>
      <c r="F71" s="355">
        <v>-11450</v>
      </c>
      <c r="G71" s="61"/>
      <c r="H71" s="61"/>
      <c r="I71" s="286"/>
      <c r="J71" s="361"/>
      <c r="K71" s="668"/>
      <c r="L71" s="296" t="s">
        <v>847</v>
      </c>
      <c r="M71" s="364">
        <f t="shared" si="8"/>
        <v>723321.44247137045</v>
      </c>
      <c r="N71" s="364">
        <f t="shared" si="9"/>
        <v>14466.42884942741</v>
      </c>
      <c r="O71" s="413">
        <v>8000</v>
      </c>
      <c r="P71" s="388">
        <f t="shared" si="7"/>
        <v>6466.4288494274097</v>
      </c>
      <c r="Q71" s="407"/>
      <c r="T71" s="409">
        <v>44501</v>
      </c>
      <c r="U71" s="295">
        <v>20000</v>
      </c>
      <c r="V71" s="296" t="s">
        <v>870</v>
      </c>
      <c r="W71" s="296">
        <v>14000</v>
      </c>
      <c r="X71" s="296">
        <v>6000</v>
      </c>
      <c r="Y71" s="296" t="s">
        <v>571</v>
      </c>
    </row>
    <row r="72" spans="2:28" x14ac:dyDescent="0.25">
      <c r="B72" s="361"/>
      <c r="C72" s="361"/>
      <c r="D72" s="361"/>
      <c r="E72" s="366"/>
      <c r="F72" s="286"/>
      <c r="G72" s="286"/>
      <c r="H72" s="286"/>
      <c r="I72" s="286"/>
      <c r="J72" s="361"/>
      <c r="K72" s="668"/>
      <c r="L72" s="296" t="s">
        <v>848</v>
      </c>
      <c r="M72" s="364">
        <f t="shared" si="8"/>
        <v>729787.87132079783</v>
      </c>
      <c r="N72" s="364">
        <f t="shared" si="9"/>
        <v>14595.757426415956</v>
      </c>
      <c r="O72" s="413">
        <v>14000</v>
      </c>
      <c r="P72" s="388">
        <f t="shared" si="7"/>
        <v>595.75742641595571</v>
      </c>
      <c r="Q72" s="407"/>
      <c r="T72" s="415">
        <v>44544</v>
      </c>
      <c r="U72" s="416">
        <v>10000</v>
      </c>
      <c r="V72" s="419" t="s">
        <v>869</v>
      </c>
      <c r="W72" s="418">
        <v>4000</v>
      </c>
      <c r="X72" s="418">
        <v>6000</v>
      </c>
      <c r="Y72" s="296" t="s">
        <v>560</v>
      </c>
    </row>
    <row r="73" spans="2:28" x14ac:dyDescent="0.25">
      <c r="B73" s="361"/>
      <c r="C73" s="361"/>
      <c r="D73" s="361"/>
      <c r="E73" s="366"/>
      <c r="F73" s="286"/>
      <c r="G73" s="286"/>
      <c r="H73" s="286"/>
      <c r="I73" s="286"/>
      <c r="J73" s="361"/>
      <c r="K73" s="668"/>
      <c r="L73" s="296" t="s">
        <v>850</v>
      </c>
      <c r="M73" s="364">
        <f t="shared" si="8"/>
        <v>730383.62874721375</v>
      </c>
      <c r="N73" s="364">
        <f t="shared" si="9"/>
        <v>14607.672574944276</v>
      </c>
      <c r="O73" s="413">
        <v>14000</v>
      </c>
      <c r="P73" s="388">
        <f t="shared" si="7"/>
        <v>607.67257494427577</v>
      </c>
      <c r="Q73" s="407"/>
      <c r="T73" s="415">
        <v>44561</v>
      </c>
      <c r="U73" s="416">
        <v>10000</v>
      </c>
      <c r="V73" s="419" t="s">
        <v>869</v>
      </c>
      <c r="W73" s="418">
        <v>10000</v>
      </c>
      <c r="X73" s="418">
        <v>0</v>
      </c>
      <c r="Y73" s="296"/>
    </row>
    <row r="74" spans="2:28" x14ac:dyDescent="0.25">
      <c r="B74" s="361"/>
      <c r="C74" s="361"/>
      <c r="D74" s="361"/>
      <c r="E74" s="366"/>
      <c r="F74" s="286"/>
      <c r="G74" s="286"/>
      <c r="H74" s="286"/>
      <c r="I74" s="286"/>
      <c r="J74" s="361"/>
      <c r="K74" s="668">
        <v>2022</v>
      </c>
      <c r="L74" s="296" t="s">
        <v>851</v>
      </c>
      <c r="M74" s="364">
        <f t="shared" si="8"/>
        <v>730991.30132215808</v>
      </c>
      <c r="N74" s="364">
        <f t="shared" si="9"/>
        <v>14619.826026443161</v>
      </c>
      <c r="O74" s="413">
        <v>0</v>
      </c>
      <c r="P74" s="388">
        <f t="shared" si="7"/>
        <v>14619.826026443161</v>
      </c>
      <c r="Q74" s="407"/>
      <c r="T74" s="420">
        <v>44562</v>
      </c>
      <c r="U74" s="410">
        <v>0</v>
      </c>
      <c r="V74" s="412" t="s">
        <v>871</v>
      </c>
      <c r="W74" s="411">
        <v>0</v>
      </c>
      <c r="X74" s="411">
        <v>0</v>
      </c>
      <c r="Y74" s="296" t="s">
        <v>561</v>
      </c>
    </row>
    <row r="75" spans="2:28" x14ac:dyDescent="0.25">
      <c r="B75" s="361"/>
      <c r="C75" s="361"/>
      <c r="D75" s="361"/>
      <c r="E75" s="366"/>
      <c r="F75" s="286"/>
      <c r="G75" s="286"/>
      <c r="H75" s="286"/>
      <c r="I75" s="286"/>
      <c r="J75" s="361"/>
      <c r="K75" s="668"/>
      <c r="L75" s="296" t="s">
        <v>852</v>
      </c>
      <c r="M75" s="364">
        <f t="shared" si="8"/>
        <v>745611.12734860124</v>
      </c>
      <c r="N75" s="364">
        <f t="shared" si="9"/>
        <v>14912.222546972025</v>
      </c>
      <c r="O75" s="413">
        <v>13000</v>
      </c>
      <c r="P75" s="388">
        <f t="shared" si="7"/>
        <v>1912.2225469720252</v>
      </c>
      <c r="Q75" s="407"/>
      <c r="T75" s="415">
        <v>44593</v>
      </c>
      <c r="U75" s="416">
        <v>20000</v>
      </c>
      <c r="V75" s="418" t="s">
        <v>870</v>
      </c>
      <c r="W75" s="418">
        <v>8000</v>
      </c>
      <c r="X75" s="418">
        <v>12000</v>
      </c>
      <c r="Y75" s="296" t="s">
        <v>562</v>
      </c>
    </row>
    <row r="76" spans="2:28" x14ac:dyDescent="0.25">
      <c r="B76" s="361"/>
      <c r="C76" s="361"/>
      <c r="D76" s="361"/>
      <c r="E76" s="366"/>
      <c r="F76" s="286"/>
      <c r="G76" s="286"/>
      <c r="H76" s="286"/>
      <c r="I76" s="286"/>
      <c r="J76" s="361"/>
      <c r="K76" s="668"/>
      <c r="L76" s="296" t="s">
        <v>853</v>
      </c>
      <c r="M76" s="364">
        <f t="shared" ref="M76:M85" si="11">M75+N75</f>
        <v>760523.34989557322</v>
      </c>
      <c r="N76" s="364">
        <f t="shared" si="9"/>
        <v>15210.466997911464</v>
      </c>
      <c r="O76" s="413"/>
      <c r="P76" s="387"/>
      <c r="Q76" s="407"/>
      <c r="T76" s="415">
        <v>44593</v>
      </c>
      <c r="U76" s="416">
        <v>5000</v>
      </c>
      <c r="V76" s="418" t="s">
        <v>870</v>
      </c>
      <c r="W76" s="418">
        <v>5000</v>
      </c>
      <c r="X76" s="418"/>
      <c r="Y76" s="296"/>
    </row>
    <row r="77" spans="2:28" x14ac:dyDescent="0.25">
      <c r="B77" s="361"/>
      <c r="C77" s="361"/>
      <c r="D77" s="361"/>
      <c r="E77" s="366"/>
      <c r="F77" s="286"/>
      <c r="G77" s="286"/>
      <c r="H77" s="286"/>
      <c r="I77" s="286"/>
      <c r="J77" s="361"/>
      <c r="K77" s="668"/>
      <c r="L77" s="296" t="s">
        <v>854</v>
      </c>
      <c r="M77" s="364">
        <f t="shared" si="11"/>
        <v>775733.81689348468</v>
      </c>
      <c r="N77" s="364">
        <f t="shared" si="9"/>
        <v>15514.676337869694</v>
      </c>
      <c r="O77" s="413"/>
      <c r="P77" s="387"/>
      <c r="Q77" s="407"/>
      <c r="T77" s="409">
        <v>44621</v>
      </c>
      <c r="U77" s="295"/>
      <c r="V77" s="296"/>
      <c r="W77" s="296"/>
      <c r="X77" s="296"/>
      <c r="Y77" s="296"/>
    </row>
    <row r="78" spans="2:28" x14ac:dyDescent="0.25">
      <c r="B78" s="361"/>
      <c r="C78" s="361"/>
      <c r="D78" s="361"/>
      <c r="E78" s="366"/>
      <c r="F78" s="286"/>
      <c r="G78" s="286"/>
      <c r="H78" s="286"/>
      <c r="I78" s="286"/>
      <c r="J78" s="361"/>
      <c r="K78" s="668"/>
      <c r="L78" s="296" t="s">
        <v>565</v>
      </c>
      <c r="M78" s="364">
        <f t="shared" si="11"/>
        <v>791248.4932313544</v>
      </c>
      <c r="N78" s="364">
        <f t="shared" si="9"/>
        <v>15824.969864627088</v>
      </c>
      <c r="O78" s="413"/>
      <c r="P78" s="387"/>
      <c r="Q78" s="407"/>
      <c r="T78" s="409">
        <v>44652</v>
      </c>
      <c r="U78" s="295"/>
      <c r="V78" s="296"/>
      <c r="W78" s="296"/>
      <c r="X78" s="296"/>
      <c r="Y78" s="296"/>
    </row>
    <row r="79" spans="2:28" x14ac:dyDescent="0.25">
      <c r="B79" s="361"/>
      <c r="C79" s="361"/>
      <c r="D79" s="361"/>
      <c r="E79" s="366"/>
      <c r="F79" s="286"/>
      <c r="G79" s="286"/>
      <c r="H79" s="286"/>
      <c r="I79" s="286"/>
      <c r="J79" s="361"/>
      <c r="K79" s="668"/>
      <c r="L79" s="296" t="s">
        <v>837</v>
      </c>
      <c r="M79" s="364">
        <f t="shared" si="11"/>
        <v>807073.46309598151</v>
      </c>
      <c r="N79" s="364">
        <f t="shared" si="9"/>
        <v>16141.46926191963</v>
      </c>
      <c r="O79" s="413"/>
      <c r="P79" s="387"/>
      <c r="Q79" s="407"/>
      <c r="T79" s="409">
        <v>44682</v>
      </c>
      <c r="U79" s="295"/>
      <c r="V79" s="296"/>
      <c r="W79" s="296"/>
      <c r="X79" s="296"/>
      <c r="Y79" s="296"/>
    </row>
    <row r="80" spans="2:28" x14ac:dyDescent="0.25">
      <c r="B80" s="361"/>
      <c r="C80" s="361"/>
      <c r="D80" s="361"/>
      <c r="E80" s="366"/>
      <c r="F80" s="286"/>
      <c r="G80" s="286"/>
      <c r="H80" s="286"/>
      <c r="I80" s="286"/>
      <c r="J80" s="361"/>
      <c r="K80" s="668"/>
      <c r="L80" s="296" t="s">
        <v>839</v>
      </c>
      <c r="M80" s="364">
        <f t="shared" si="11"/>
        <v>823214.93235790113</v>
      </c>
      <c r="N80" s="364">
        <f t="shared" si="9"/>
        <v>16464.298647158023</v>
      </c>
      <c r="O80" s="413"/>
      <c r="P80" s="387"/>
      <c r="Q80" s="407"/>
      <c r="T80" s="409">
        <v>44713</v>
      </c>
      <c r="U80" s="295"/>
      <c r="V80" s="296"/>
      <c r="W80" s="296"/>
      <c r="X80" s="296"/>
      <c r="Y80" s="296"/>
    </row>
    <row r="81" spans="2:25" x14ac:dyDescent="0.25">
      <c r="B81" s="361"/>
      <c r="C81" s="361"/>
      <c r="D81" s="361"/>
      <c r="E81" s="366"/>
      <c r="F81" s="286"/>
      <c r="G81" s="286"/>
      <c r="H81" s="286"/>
      <c r="I81" s="286"/>
      <c r="J81" s="361"/>
      <c r="K81" s="668"/>
      <c r="L81" s="296" t="s">
        <v>842</v>
      </c>
      <c r="M81" s="364">
        <f t="shared" si="11"/>
        <v>839679.23100505909</v>
      </c>
      <c r="N81" s="364">
        <f t="shared" si="9"/>
        <v>16793.584620101181</v>
      </c>
      <c r="O81" s="413"/>
      <c r="P81" s="387"/>
      <c r="Q81" s="407"/>
      <c r="T81" s="409">
        <v>44743</v>
      </c>
      <c r="U81" s="295"/>
      <c r="V81" s="296"/>
      <c r="W81" s="296"/>
      <c r="X81" s="296"/>
      <c r="Y81" s="296"/>
    </row>
    <row r="82" spans="2:25" x14ac:dyDescent="0.25">
      <c r="B82" s="361"/>
      <c r="C82" s="361"/>
      <c r="D82" s="361"/>
      <c r="E82" s="366"/>
      <c r="F82" s="286"/>
      <c r="G82" s="286"/>
      <c r="H82" s="286"/>
      <c r="I82" s="286"/>
      <c r="J82" s="361"/>
      <c r="K82" s="668"/>
      <c r="L82" s="296" t="s">
        <v>845</v>
      </c>
      <c r="M82" s="364">
        <f t="shared" si="11"/>
        <v>856472.81562516023</v>
      </c>
      <c r="N82" s="364">
        <f t="shared" si="9"/>
        <v>17129.456312503204</v>
      </c>
      <c r="O82" s="413"/>
      <c r="P82" s="387"/>
      <c r="Q82" s="407"/>
      <c r="T82" s="409">
        <v>44774</v>
      </c>
      <c r="U82" s="295"/>
      <c r="V82" s="296"/>
      <c r="W82" s="296"/>
      <c r="X82" s="296"/>
      <c r="Y82" s="296"/>
    </row>
    <row r="83" spans="2:25" x14ac:dyDescent="0.25">
      <c r="B83" s="361"/>
      <c r="C83" s="361"/>
      <c r="D83" s="361"/>
      <c r="E83" s="366"/>
      <c r="F83" s="286"/>
      <c r="G83" s="286"/>
      <c r="H83" s="286"/>
      <c r="I83" s="286"/>
      <c r="J83" s="361"/>
      <c r="K83" s="668"/>
      <c r="L83" s="296" t="s">
        <v>847</v>
      </c>
      <c r="M83" s="364">
        <f t="shared" si="11"/>
        <v>873602.27193766343</v>
      </c>
      <c r="N83" s="364">
        <f t="shared" si="9"/>
        <v>17472.04543875327</v>
      </c>
      <c r="O83" s="413"/>
      <c r="P83" s="387"/>
      <c r="Q83" s="407"/>
      <c r="S83" s="294" t="s">
        <v>18</v>
      </c>
      <c r="T83" s="409">
        <v>44805</v>
      </c>
      <c r="U83" s="296">
        <v>20000</v>
      </c>
      <c r="V83" s="296"/>
      <c r="W83" s="296"/>
      <c r="X83" s="296"/>
      <c r="Y83" s="296"/>
    </row>
    <row r="84" spans="2:25" x14ac:dyDescent="0.25">
      <c r="B84" s="361"/>
      <c r="C84" s="361"/>
      <c r="D84" s="361"/>
      <c r="E84" s="366"/>
      <c r="F84" s="286"/>
      <c r="G84" s="286"/>
      <c r="H84" s="286"/>
      <c r="I84" s="286"/>
      <c r="J84" s="361"/>
      <c r="K84" s="668"/>
      <c r="L84" s="296" t="s">
        <v>848</v>
      </c>
      <c r="M84" s="364">
        <f t="shared" si="11"/>
        <v>891074.31737641676</v>
      </c>
      <c r="N84" s="364">
        <f t="shared" si="9"/>
        <v>17821.486347528335</v>
      </c>
      <c r="O84" s="413"/>
      <c r="P84" s="387"/>
      <c r="Q84" s="407"/>
      <c r="T84" s="409">
        <v>44835</v>
      </c>
      <c r="U84" s="296">
        <v>20000</v>
      </c>
      <c r="V84" s="296"/>
      <c r="W84" s="296"/>
      <c r="X84" s="296"/>
      <c r="Y84" s="296"/>
    </row>
    <row r="85" spans="2:25" x14ac:dyDescent="0.25">
      <c r="B85" s="361"/>
      <c r="C85" s="361"/>
      <c r="D85" s="361"/>
      <c r="E85" s="366"/>
      <c r="F85" s="286"/>
      <c r="G85" s="286"/>
      <c r="H85" s="286"/>
      <c r="I85" s="286"/>
      <c r="J85" s="361"/>
      <c r="K85" s="668"/>
      <c r="L85" s="296" t="s">
        <v>850</v>
      </c>
      <c r="M85" s="364">
        <f t="shared" si="11"/>
        <v>908895.80372394505</v>
      </c>
      <c r="N85" s="364">
        <f t="shared" si="9"/>
        <v>18177.916074478901</v>
      </c>
      <c r="O85" s="295"/>
      <c r="P85" s="296"/>
      <c r="Q85" s="407"/>
      <c r="T85" s="409">
        <v>44866</v>
      </c>
      <c r="U85" s="296"/>
      <c r="V85" s="296"/>
      <c r="W85" s="296"/>
      <c r="X85" s="296"/>
      <c r="Y85" s="296"/>
    </row>
    <row r="86" spans="2:25" x14ac:dyDescent="0.25">
      <c r="B86" s="361"/>
      <c r="C86" s="361"/>
      <c r="D86" s="361"/>
      <c r="E86" s="366"/>
      <c r="F86" s="286"/>
      <c r="G86" s="286"/>
      <c r="H86" s="286"/>
      <c r="I86" s="286"/>
      <c r="J86" s="361"/>
      <c r="K86" s="361"/>
      <c r="L86" s="361"/>
      <c r="M86" s="361"/>
      <c r="T86" s="409">
        <v>44896</v>
      </c>
      <c r="U86" s="296"/>
      <c r="V86" s="296"/>
      <c r="W86" s="296"/>
      <c r="X86" s="296"/>
      <c r="Y86" s="296"/>
    </row>
    <row r="87" spans="2:25" x14ac:dyDescent="0.25">
      <c r="B87" s="361"/>
      <c r="C87" s="361"/>
      <c r="D87" s="361"/>
      <c r="E87" s="366"/>
      <c r="F87" s="286"/>
      <c r="G87" s="286"/>
      <c r="H87" s="286"/>
      <c r="I87" s="286"/>
      <c r="J87" s="361"/>
      <c r="K87" s="361"/>
      <c r="L87" s="361"/>
      <c r="M87" s="361"/>
      <c r="T87" s="409">
        <v>44927</v>
      </c>
      <c r="U87" s="296"/>
      <c r="V87" s="296"/>
      <c r="W87" s="296"/>
      <c r="X87" s="296"/>
      <c r="Y87" s="296"/>
    </row>
    <row r="88" spans="2:25" x14ac:dyDescent="0.25">
      <c r="B88" s="361"/>
      <c r="C88" s="361"/>
      <c r="D88" s="361"/>
      <c r="E88" s="366"/>
      <c r="F88" s="286"/>
      <c r="G88" s="286"/>
      <c r="H88" s="286"/>
      <c r="I88" s="286"/>
      <c r="J88" s="361"/>
      <c r="K88" s="361"/>
      <c r="L88" s="361"/>
      <c r="M88" s="361"/>
      <c r="T88" s="409">
        <v>44958</v>
      </c>
      <c r="U88" s="296"/>
      <c r="V88" s="296"/>
      <c r="W88" s="296"/>
      <c r="X88" s="296"/>
      <c r="Y88" s="296"/>
    </row>
    <row r="89" spans="2:25" x14ac:dyDescent="0.25">
      <c r="B89" s="361"/>
      <c r="C89" s="361"/>
      <c r="D89" s="361"/>
      <c r="E89" s="366"/>
      <c r="F89" s="286"/>
      <c r="G89" s="286"/>
      <c r="H89" s="286"/>
      <c r="I89" s="286"/>
      <c r="J89" s="361"/>
      <c r="K89" s="361"/>
      <c r="L89" s="361"/>
      <c r="M89" s="361"/>
      <c r="T89" s="409">
        <v>44986</v>
      </c>
      <c r="U89" s="296"/>
      <c r="V89" s="296"/>
      <c r="W89" s="296"/>
      <c r="X89" s="296"/>
      <c r="Y89" s="296"/>
    </row>
    <row r="90" spans="2:25" x14ac:dyDescent="0.25">
      <c r="B90" s="361"/>
      <c r="C90" s="361"/>
      <c r="D90" s="361"/>
      <c r="E90" s="366"/>
      <c r="F90" s="286"/>
      <c r="G90" s="286"/>
      <c r="H90" s="286"/>
      <c r="I90" s="286"/>
      <c r="J90" s="361"/>
      <c r="K90" s="361"/>
      <c r="L90" s="361"/>
      <c r="M90" s="361"/>
      <c r="T90" s="409">
        <v>45017</v>
      </c>
      <c r="U90" s="296"/>
      <c r="V90" s="296"/>
      <c r="W90" s="296"/>
      <c r="X90" s="296"/>
      <c r="Y90" s="296"/>
    </row>
    <row r="91" spans="2:25" x14ac:dyDescent="0.25">
      <c r="B91" s="361"/>
      <c r="C91" s="361"/>
      <c r="D91" s="361"/>
      <c r="E91" s="366"/>
      <c r="F91" s="286"/>
      <c r="G91" s="286"/>
      <c r="H91" s="286"/>
      <c r="I91" s="286"/>
      <c r="J91" s="361"/>
      <c r="K91" s="361"/>
      <c r="L91" s="361"/>
      <c r="M91" s="361"/>
      <c r="T91" s="409">
        <v>45047</v>
      </c>
      <c r="U91" s="296"/>
      <c r="V91" s="296"/>
      <c r="W91" s="296"/>
      <c r="X91" s="296"/>
      <c r="Y91" s="296"/>
    </row>
    <row r="92" spans="2:25" x14ac:dyDescent="0.25">
      <c r="B92" s="361"/>
      <c r="C92" s="361"/>
      <c r="D92" s="361"/>
      <c r="E92" s="366"/>
      <c r="F92" s="286"/>
      <c r="G92" s="286"/>
      <c r="H92" s="286"/>
      <c r="I92" s="286"/>
      <c r="J92" s="361"/>
      <c r="K92" s="361"/>
      <c r="L92" s="361"/>
      <c r="M92" s="361"/>
      <c r="T92" s="409">
        <v>45078</v>
      </c>
      <c r="U92" s="296"/>
      <c r="V92" s="296"/>
      <c r="W92" s="296"/>
      <c r="X92" s="296"/>
      <c r="Y92" s="296"/>
    </row>
    <row r="93" spans="2:25" x14ac:dyDescent="0.25">
      <c r="B93" s="361"/>
      <c r="C93" s="361"/>
      <c r="D93" s="361"/>
      <c r="E93" s="366"/>
      <c r="F93" s="286"/>
      <c r="G93" s="286"/>
      <c r="H93" s="286"/>
      <c r="I93" s="286"/>
      <c r="J93" s="361"/>
      <c r="K93" s="361"/>
      <c r="L93" s="361"/>
      <c r="M93" s="361"/>
      <c r="T93" s="409">
        <v>45108</v>
      </c>
      <c r="U93" s="296"/>
      <c r="V93" s="296"/>
      <c r="W93" s="296"/>
      <c r="X93" s="296"/>
      <c r="Y93" s="296"/>
    </row>
    <row r="94" spans="2:25" x14ac:dyDescent="0.25">
      <c r="B94" s="361"/>
      <c r="C94" s="361"/>
      <c r="D94" s="361"/>
      <c r="E94" s="366"/>
      <c r="F94" s="286"/>
      <c r="G94" s="286"/>
      <c r="H94" s="286"/>
      <c r="I94" s="286"/>
      <c r="J94" s="361"/>
      <c r="K94" s="361"/>
      <c r="L94" s="361"/>
      <c r="M94" s="361"/>
      <c r="T94" s="409">
        <v>45139</v>
      </c>
      <c r="U94" s="296"/>
      <c r="V94" s="296"/>
      <c r="W94" s="296"/>
      <c r="X94" s="296"/>
      <c r="Y94" s="296"/>
    </row>
    <row r="95" spans="2:25" x14ac:dyDescent="0.25">
      <c r="B95" s="361"/>
      <c r="C95" s="361"/>
      <c r="D95" s="361"/>
      <c r="E95" s="366"/>
      <c r="F95" s="286"/>
      <c r="G95" s="286"/>
      <c r="H95" s="286"/>
      <c r="I95" s="286"/>
      <c r="J95" s="361"/>
      <c r="K95" s="361"/>
      <c r="L95" s="361"/>
      <c r="M95" s="361"/>
      <c r="T95" s="409"/>
      <c r="U95" s="295">
        <f>SUM(U49:U94)</f>
        <v>385205</v>
      </c>
      <c r="V95" s="296"/>
      <c r="W95" s="296"/>
      <c r="X95" s="296"/>
      <c r="Y95" s="296"/>
    </row>
    <row r="96" spans="2:25" x14ac:dyDescent="0.25">
      <c r="B96" s="361"/>
      <c r="C96" s="361"/>
      <c r="D96" s="361"/>
      <c r="E96" s="366"/>
      <c r="F96" s="286"/>
      <c r="G96" s="286"/>
      <c r="H96" s="286"/>
      <c r="I96" s="286"/>
      <c r="J96" s="361"/>
      <c r="K96" s="361"/>
      <c r="L96" s="361"/>
      <c r="M96" s="361"/>
    </row>
    <row r="97" spans="2:13" x14ac:dyDescent="0.25">
      <c r="B97" s="361"/>
      <c r="C97" s="361"/>
      <c r="D97" s="361"/>
      <c r="E97" s="366"/>
      <c r="F97" s="286"/>
      <c r="G97" s="286"/>
      <c r="H97" s="286"/>
      <c r="I97" s="286"/>
      <c r="J97" s="361"/>
      <c r="K97" s="361"/>
      <c r="L97" s="361"/>
      <c r="M97" s="361"/>
    </row>
    <row r="98" spans="2:13" x14ac:dyDescent="0.25">
      <c r="B98" s="361"/>
      <c r="C98" s="361"/>
      <c r="D98" s="361"/>
      <c r="E98" s="366"/>
      <c r="F98" s="286"/>
      <c r="G98" s="286"/>
      <c r="H98" s="286"/>
      <c r="I98" s="286"/>
      <c r="J98" s="361"/>
      <c r="K98" s="361"/>
      <c r="L98" s="361"/>
      <c r="M98" s="361"/>
    </row>
    <row r="99" spans="2:13" x14ac:dyDescent="0.25">
      <c r="B99" s="361"/>
      <c r="C99" s="361"/>
      <c r="D99" s="361"/>
      <c r="E99" s="366"/>
      <c r="F99" s="286"/>
      <c r="G99" s="286"/>
      <c r="H99" s="286"/>
      <c r="I99" s="286"/>
      <c r="J99" s="361"/>
      <c r="K99" s="361"/>
      <c r="L99" s="361"/>
      <c r="M99" s="361"/>
    </row>
    <row r="100" spans="2:13" x14ac:dyDescent="0.25">
      <c r="B100" s="361"/>
      <c r="C100" s="361"/>
      <c r="D100" s="361"/>
      <c r="E100" s="366"/>
      <c r="F100" s="286"/>
      <c r="G100" s="286"/>
      <c r="H100" s="286"/>
      <c r="I100" s="286"/>
      <c r="J100" s="361"/>
      <c r="K100" s="361"/>
      <c r="L100" s="361"/>
      <c r="M100" s="361"/>
    </row>
    <row r="101" spans="2:13" x14ac:dyDescent="0.25">
      <c r="B101" s="361"/>
      <c r="C101" s="361"/>
      <c r="D101" s="361"/>
      <c r="E101" s="366"/>
      <c r="F101" s="286"/>
      <c r="G101" s="286"/>
      <c r="H101" s="286"/>
      <c r="I101" s="286"/>
      <c r="J101" s="361"/>
      <c r="K101" s="361"/>
      <c r="L101" s="361"/>
      <c r="M101" s="361"/>
    </row>
    <row r="102" spans="2:13" x14ac:dyDescent="0.25">
      <c r="B102" s="361"/>
      <c r="C102" s="361"/>
      <c r="D102" s="361"/>
      <c r="E102" s="366"/>
      <c r="F102" s="286"/>
      <c r="G102" s="286"/>
      <c r="H102" s="286"/>
      <c r="I102" s="286"/>
      <c r="J102" s="361"/>
      <c r="K102" s="361"/>
      <c r="L102" s="361"/>
      <c r="M102" s="361"/>
    </row>
    <row r="103" spans="2:13" x14ac:dyDescent="0.25">
      <c r="B103" s="361"/>
      <c r="C103" s="361"/>
      <c r="D103" s="361"/>
      <c r="E103" s="366"/>
      <c r="F103" s="286"/>
      <c r="G103" s="286"/>
      <c r="H103" s="286"/>
      <c r="I103" s="286"/>
      <c r="J103" s="361"/>
      <c r="K103" s="361"/>
      <c r="L103" s="361"/>
      <c r="M103" s="361"/>
    </row>
    <row r="104" spans="2:13" x14ac:dyDescent="0.25">
      <c r="B104" s="361"/>
      <c r="C104" s="361"/>
      <c r="D104" s="361"/>
      <c r="E104" s="366"/>
      <c r="F104" s="286"/>
      <c r="G104" s="286"/>
      <c r="H104" s="286"/>
      <c r="I104" s="286"/>
      <c r="J104" s="361"/>
      <c r="K104" s="361"/>
      <c r="L104" s="361"/>
      <c r="M104" s="361"/>
    </row>
    <row r="105" spans="2:13" x14ac:dyDescent="0.25">
      <c r="B105" s="361"/>
      <c r="C105" s="361"/>
      <c r="D105" s="361"/>
      <c r="E105" s="366"/>
      <c r="F105" s="286"/>
      <c r="G105" s="286"/>
      <c r="H105" s="286"/>
      <c r="I105" s="286"/>
      <c r="J105" s="361"/>
      <c r="K105" s="361"/>
      <c r="L105" s="361"/>
      <c r="M105" s="361"/>
    </row>
    <row r="106" spans="2:13" x14ac:dyDescent="0.25">
      <c r="B106" s="361"/>
      <c r="C106" s="361"/>
      <c r="D106" s="361"/>
      <c r="E106" s="366"/>
      <c r="F106" s="286"/>
      <c r="G106" s="286"/>
      <c r="H106" s="286"/>
      <c r="I106" s="286"/>
      <c r="J106" s="361"/>
      <c r="K106" s="361"/>
      <c r="L106" s="361"/>
      <c r="M106" s="361"/>
    </row>
    <row r="107" spans="2:13" x14ac:dyDescent="0.25">
      <c r="B107" s="361"/>
      <c r="C107" s="361"/>
      <c r="D107" s="361"/>
      <c r="E107" s="366"/>
      <c r="F107" s="286"/>
      <c r="G107" s="286"/>
      <c r="H107" s="286"/>
      <c r="I107" s="286"/>
      <c r="J107" s="361"/>
      <c r="K107" s="361"/>
      <c r="L107" s="361"/>
      <c r="M107" s="361"/>
    </row>
    <row r="108" spans="2:13" x14ac:dyDescent="0.25">
      <c r="B108" s="361"/>
      <c r="C108" s="361"/>
      <c r="D108" s="361"/>
      <c r="E108" s="366"/>
      <c r="F108" s="286"/>
      <c r="G108" s="286"/>
      <c r="H108" s="286"/>
      <c r="I108" s="286"/>
      <c r="J108" s="361"/>
      <c r="K108" s="361"/>
      <c r="L108" s="361"/>
      <c r="M108" s="361"/>
    </row>
    <row r="109" spans="2:13" x14ac:dyDescent="0.25">
      <c r="B109" s="361"/>
      <c r="C109" s="361"/>
      <c r="D109" s="361"/>
      <c r="E109" s="366"/>
      <c r="F109" s="286"/>
      <c r="G109" s="286"/>
      <c r="H109" s="286"/>
      <c r="I109" s="286"/>
      <c r="J109" s="361"/>
      <c r="K109" s="361"/>
      <c r="L109" s="361"/>
      <c r="M109" s="361"/>
    </row>
    <row r="110" spans="2:13" x14ac:dyDescent="0.25">
      <c r="B110" s="361"/>
      <c r="C110" s="361"/>
      <c r="D110" s="361"/>
      <c r="E110" s="366"/>
      <c r="F110" s="286"/>
      <c r="G110" s="286"/>
      <c r="H110" s="286"/>
      <c r="I110" s="286"/>
      <c r="J110" s="361"/>
      <c r="K110" s="361"/>
      <c r="L110" s="361"/>
      <c r="M110" s="361"/>
    </row>
    <row r="111" spans="2:13" x14ac:dyDescent="0.25">
      <c r="B111" s="361"/>
      <c r="C111" s="361"/>
      <c r="D111" s="361"/>
      <c r="E111" s="366"/>
      <c r="F111" s="286"/>
      <c r="G111" s="286"/>
      <c r="H111" s="286"/>
      <c r="I111" s="286"/>
      <c r="J111" s="361"/>
      <c r="K111" s="361"/>
      <c r="L111" s="361"/>
      <c r="M111" s="361"/>
    </row>
    <row r="112" spans="2:13" x14ac:dyDescent="0.25">
      <c r="B112" s="361"/>
      <c r="C112" s="361"/>
      <c r="D112" s="361"/>
      <c r="E112" s="366"/>
      <c r="F112" s="286"/>
      <c r="G112" s="286"/>
      <c r="H112" s="286"/>
      <c r="I112" s="286"/>
      <c r="J112" s="361"/>
      <c r="K112" s="361"/>
      <c r="L112" s="361"/>
      <c r="M112" s="361"/>
    </row>
    <row r="113" spans="2:13" x14ac:dyDescent="0.25">
      <c r="B113" s="361"/>
      <c r="C113" s="361"/>
      <c r="D113" s="361"/>
      <c r="E113" s="366"/>
      <c r="F113" s="286"/>
      <c r="G113" s="286"/>
      <c r="H113" s="286"/>
      <c r="I113" s="286"/>
      <c r="J113" s="361"/>
      <c r="K113" s="361"/>
      <c r="L113" s="361"/>
      <c r="M113" s="361"/>
    </row>
    <row r="114" spans="2:13" x14ac:dyDescent="0.25">
      <c r="B114" s="361"/>
      <c r="C114" s="361"/>
      <c r="D114" s="361"/>
      <c r="E114" s="366"/>
      <c r="F114" s="286"/>
      <c r="G114" s="286"/>
      <c r="H114" s="286"/>
      <c r="I114" s="286"/>
      <c r="J114" s="361"/>
      <c r="K114" s="361"/>
      <c r="L114" s="361"/>
      <c r="M114" s="361"/>
    </row>
    <row r="115" spans="2:13" x14ac:dyDescent="0.25">
      <c r="B115" s="361"/>
      <c r="C115" s="361"/>
      <c r="D115" s="361"/>
      <c r="E115" s="366"/>
      <c r="F115" s="286"/>
      <c r="G115" s="286"/>
      <c r="H115" s="286"/>
      <c r="I115" s="286"/>
      <c r="J115" s="361"/>
      <c r="K115" s="361"/>
      <c r="L115" s="361"/>
      <c r="M115" s="361"/>
    </row>
    <row r="116" spans="2:13" x14ac:dyDescent="0.25">
      <c r="B116" s="361"/>
      <c r="C116" s="361"/>
      <c r="D116" s="361"/>
      <c r="E116" s="366"/>
      <c r="F116" s="286"/>
      <c r="G116" s="286"/>
      <c r="H116" s="286"/>
      <c r="I116" s="286"/>
      <c r="J116" s="361"/>
      <c r="K116" s="361"/>
      <c r="L116" s="361"/>
      <c r="M116" s="361"/>
    </row>
    <row r="117" spans="2:13" x14ac:dyDescent="0.25">
      <c r="B117" s="361"/>
      <c r="C117" s="361"/>
      <c r="D117" s="361"/>
      <c r="E117" s="366"/>
      <c r="F117" s="286"/>
      <c r="G117" s="286"/>
      <c r="H117" s="286"/>
      <c r="I117" s="286"/>
      <c r="J117" s="361"/>
      <c r="K117" s="361"/>
      <c r="L117" s="361"/>
      <c r="M117" s="361"/>
    </row>
    <row r="118" spans="2:13" x14ac:dyDescent="0.25">
      <c r="B118" s="361"/>
      <c r="C118" s="361"/>
      <c r="D118" s="361"/>
      <c r="E118" s="366"/>
      <c r="F118" s="286"/>
      <c r="G118" s="286"/>
      <c r="H118" s="286"/>
      <c r="I118" s="286"/>
      <c r="J118" s="361"/>
      <c r="K118" s="361"/>
      <c r="L118" s="361"/>
      <c r="M118" s="361"/>
    </row>
    <row r="119" spans="2:13" x14ac:dyDescent="0.25">
      <c r="B119" s="361"/>
      <c r="C119" s="361"/>
      <c r="D119" s="361"/>
      <c r="E119" s="366"/>
      <c r="F119" s="286"/>
      <c r="G119" s="286"/>
      <c r="H119" s="286"/>
      <c r="I119" s="286"/>
      <c r="J119" s="361"/>
      <c r="K119" s="361"/>
      <c r="L119" s="361"/>
      <c r="M119" s="361"/>
    </row>
    <row r="120" spans="2:13" x14ac:dyDescent="0.25">
      <c r="B120" s="361"/>
      <c r="C120" s="361"/>
      <c r="D120" s="361"/>
      <c r="E120" s="366"/>
      <c r="F120" s="286"/>
      <c r="G120" s="286"/>
      <c r="H120" s="286"/>
      <c r="I120" s="286"/>
      <c r="J120" s="361"/>
      <c r="K120" s="361"/>
      <c r="L120" s="361"/>
      <c r="M120" s="361"/>
    </row>
    <row r="121" spans="2:13" x14ac:dyDescent="0.25">
      <c r="B121" s="361"/>
      <c r="C121" s="361"/>
      <c r="D121" s="361"/>
      <c r="E121" s="366"/>
      <c r="F121" s="286"/>
      <c r="G121" s="286"/>
      <c r="H121" s="286"/>
      <c r="I121" s="286"/>
      <c r="J121" s="361"/>
      <c r="K121" s="361"/>
      <c r="L121" s="361"/>
      <c r="M121" s="361"/>
    </row>
    <row r="122" spans="2:13" x14ac:dyDescent="0.25">
      <c r="B122" s="361"/>
      <c r="C122" s="361"/>
      <c r="D122" s="361"/>
      <c r="E122" s="366"/>
      <c r="F122" s="286"/>
      <c r="G122" s="286"/>
      <c r="H122" s="286"/>
      <c r="I122" s="286"/>
      <c r="J122" s="361"/>
      <c r="K122" s="361"/>
      <c r="L122" s="361"/>
      <c r="M122" s="361"/>
    </row>
    <row r="123" spans="2:13" x14ac:dyDescent="0.25">
      <c r="B123" s="361"/>
      <c r="C123" s="361"/>
      <c r="D123" s="361"/>
      <c r="E123" s="366"/>
      <c r="F123" s="286"/>
      <c r="G123" s="286"/>
      <c r="H123" s="286"/>
      <c r="I123" s="286"/>
      <c r="J123" s="361"/>
      <c r="K123" s="361"/>
      <c r="L123" s="361"/>
      <c r="M123" s="361"/>
    </row>
    <row r="124" spans="2:13" x14ac:dyDescent="0.25">
      <c r="B124" s="361"/>
      <c r="C124" s="361"/>
      <c r="D124" s="361"/>
      <c r="E124" s="366"/>
      <c r="F124" s="286"/>
      <c r="G124" s="286"/>
      <c r="H124" s="286"/>
      <c r="I124" s="286"/>
      <c r="J124" s="361"/>
      <c r="K124" s="361"/>
      <c r="L124" s="361"/>
      <c r="M124" s="361"/>
    </row>
    <row r="125" spans="2:13" x14ac:dyDescent="0.25">
      <c r="B125" s="361"/>
      <c r="C125" s="361"/>
      <c r="D125" s="361"/>
      <c r="E125" s="366"/>
      <c r="F125" s="286"/>
      <c r="G125" s="286"/>
      <c r="H125" s="286"/>
      <c r="I125" s="286"/>
      <c r="J125" s="361"/>
      <c r="K125" s="361"/>
      <c r="L125" s="361"/>
      <c r="M125" s="361"/>
    </row>
    <row r="126" spans="2:13" x14ac:dyDescent="0.25">
      <c r="B126" s="361"/>
      <c r="C126" s="361"/>
      <c r="D126" s="361"/>
      <c r="E126" s="366"/>
      <c r="F126" s="286"/>
      <c r="G126" s="286"/>
      <c r="H126" s="286"/>
      <c r="I126" s="286"/>
      <c r="J126" s="361"/>
      <c r="K126" s="361"/>
      <c r="L126" s="361"/>
      <c r="M126" s="361"/>
    </row>
    <row r="127" spans="2:13" x14ac:dyDescent="0.25">
      <c r="B127" s="361"/>
      <c r="C127" s="361"/>
      <c r="D127" s="361"/>
      <c r="E127" s="366"/>
      <c r="F127" s="286"/>
      <c r="G127" s="286"/>
      <c r="H127" s="286"/>
      <c r="I127" s="286"/>
      <c r="J127" s="361"/>
      <c r="K127" s="361"/>
      <c r="L127" s="361"/>
      <c r="M127" s="361"/>
    </row>
    <row r="128" spans="2:13" x14ac:dyDescent="0.25">
      <c r="B128" s="361"/>
      <c r="C128" s="361"/>
      <c r="D128" s="361"/>
      <c r="E128" s="366"/>
      <c r="F128" s="286"/>
      <c r="G128" s="286"/>
      <c r="H128" s="286"/>
      <c r="I128" s="286"/>
      <c r="J128" s="361"/>
      <c r="K128" s="361"/>
      <c r="L128" s="361"/>
      <c r="M128" s="361"/>
    </row>
    <row r="129" spans="2:13" x14ac:dyDescent="0.25">
      <c r="B129" s="361"/>
      <c r="C129" s="361"/>
      <c r="D129" s="361"/>
      <c r="E129" s="366"/>
      <c r="F129" s="286"/>
      <c r="G129" s="286"/>
      <c r="H129" s="286"/>
      <c r="I129" s="286"/>
      <c r="J129" s="361"/>
      <c r="K129" s="361"/>
      <c r="L129" s="361"/>
      <c r="M129" s="361"/>
    </row>
    <row r="130" spans="2:13" x14ac:dyDescent="0.25">
      <c r="B130" s="361"/>
      <c r="C130" s="361"/>
      <c r="D130" s="361"/>
      <c r="E130" s="366"/>
      <c r="F130" s="286"/>
      <c r="G130" s="286"/>
      <c r="H130" s="286"/>
      <c r="I130" s="286"/>
      <c r="J130" s="361"/>
      <c r="K130" s="361"/>
      <c r="L130" s="361"/>
      <c r="M130" s="361"/>
    </row>
    <row r="131" spans="2:13" x14ac:dyDescent="0.25">
      <c r="B131" s="361"/>
      <c r="C131" s="361"/>
      <c r="D131" s="361"/>
      <c r="E131" s="366"/>
      <c r="F131" s="286"/>
      <c r="G131" s="286"/>
      <c r="H131" s="286"/>
      <c r="I131" s="286"/>
      <c r="J131" s="361"/>
      <c r="K131" s="361"/>
      <c r="L131" s="361"/>
      <c r="M131" s="361"/>
    </row>
    <row r="132" spans="2:13" x14ac:dyDescent="0.25">
      <c r="B132" s="361"/>
      <c r="C132" s="361"/>
      <c r="D132" s="361"/>
      <c r="E132" s="286"/>
      <c r="F132" s="286"/>
      <c r="G132" s="286"/>
      <c r="H132" s="286"/>
      <c r="I132" s="286"/>
      <c r="J132" s="361"/>
      <c r="K132" s="361"/>
      <c r="L132" s="361"/>
      <c r="M132" s="361"/>
    </row>
    <row r="133" spans="2:13" x14ac:dyDescent="0.25">
      <c r="B133" s="361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61"/>
    </row>
    <row r="134" spans="2:13" x14ac:dyDescent="0.25">
      <c r="B134" s="361"/>
      <c r="C134" s="361"/>
      <c r="D134" s="361"/>
      <c r="E134" s="361"/>
      <c r="F134" s="361"/>
      <c r="G134" s="361"/>
      <c r="H134" s="361"/>
      <c r="I134" s="361"/>
      <c r="J134" s="361"/>
      <c r="K134" s="361"/>
      <c r="L134" s="361"/>
      <c r="M134" s="361"/>
    </row>
    <row r="135" spans="2:13" x14ac:dyDescent="0.25">
      <c r="B135" s="361"/>
      <c r="C135" s="361"/>
      <c r="D135" s="361"/>
      <c r="E135" s="361"/>
      <c r="F135" s="361"/>
      <c r="G135" s="361"/>
      <c r="H135" s="361"/>
      <c r="I135" s="361"/>
      <c r="J135" s="361"/>
      <c r="K135" s="361">
        <v>600000</v>
      </c>
      <c r="L135" s="361">
        <v>1.1456</v>
      </c>
      <c r="M135" s="361">
        <f>K135*L135/100</f>
        <v>6873.6</v>
      </c>
    </row>
    <row r="136" spans="2:13" x14ac:dyDescent="0.25">
      <c r="B136" s="361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1"/>
    </row>
  </sheetData>
  <sortState xmlns:xlrd2="http://schemas.microsoft.com/office/spreadsheetml/2017/richdata2" ref="T49:V74">
    <sortCondition ref="T49:T74"/>
    <sortCondition ref="V49:V74"/>
  </sortState>
  <mergeCells count="21">
    <mergeCell ref="K74:K85"/>
    <mergeCell ref="S35:T35"/>
    <mergeCell ref="V35:W35"/>
    <mergeCell ref="Y35:Z35"/>
    <mergeCell ref="K50:K61"/>
    <mergeCell ref="K62:K73"/>
    <mergeCell ref="W5:Z5"/>
    <mergeCell ref="X9:Y9"/>
    <mergeCell ref="T27:U27"/>
    <mergeCell ref="S31:U31"/>
    <mergeCell ref="V31:X31"/>
    <mergeCell ref="Y31:AA31"/>
    <mergeCell ref="S34:T34"/>
    <mergeCell ref="V34:W34"/>
    <mergeCell ref="Y34:Z34"/>
    <mergeCell ref="S32:T32"/>
    <mergeCell ref="V32:W32"/>
    <mergeCell ref="Y32:Z32"/>
    <mergeCell ref="S33:T33"/>
    <mergeCell ref="V33:W33"/>
    <mergeCell ref="Y33:Z33"/>
  </mergeCells>
  <phoneticPr fontId="56" type="noConversion"/>
  <pageMargins left="0.7" right="0.7" top="0.75" bottom="0.75" header="0.3" footer="0.3"/>
  <pageSetup orientation="portrait" r:id="rId1"/>
  <ignoredErrors>
    <ignoredError sqref="N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F7AB-DB92-4272-B580-D566CFA58720}">
  <dimension ref="A1:E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3"/>
    </sheetView>
  </sheetViews>
  <sheetFormatPr defaultRowHeight="15" x14ac:dyDescent="0.25"/>
  <sheetData>
    <row r="1" spans="1:5" x14ac:dyDescent="0.25">
      <c r="A1" s="26" t="s">
        <v>208</v>
      </c>
      <c r="B1" s="26" t="s">
        <v>209</v>
      </c>
      <c r="C1" s="26"/>
      <c r="D1" s="26" t="s">
        <v>18</v>
      </c>
      <c r="E1" s="26">
        <f>SUM(B2:B29)</f>
        <v>150088</v>
      </c>
    </row>
    <row r="2" spans="1:5" x14ac:dyDescent="0.25">
      <c r="A2" s="386">
        <v>43831</v>
      </c>
      <c r="B2">
        <v>12588</v>
      </c>
    </row>
    <row r="3" spans="1:5" x14ac:dyDescent="0.25">
      <c r="A3" s="386">
        <v>43831</v>
      </c>
      <c r="B3">
        <v>12500</v>
      </c>
    </row>
    <row r="4" spans="1:5" x14ac:dyDescent="0.25">
      <c r="A4" s="386"/>
    </row>
    <row r="5" spans="1:5" x14ac:dyDescent="0.25">
      <c r="A5" s="386"/>
    </row>
    <row r="6" spans="1:5" x14ac:dyDescent="0.25">
      <c r="A6" s="386">
        <v>43709</v>
      </c>
      <c r="B6">
        <v>25000</v>
      </c>
    </row>
    <row r="7" spans="1:5" x14ac:dyDescent="0.25">
      <c r="A7" s="386">
        <v>43709</v>
      </c>
      <c r="B7">
        <v>12500</v>
      </c>
    </row>
    <row r="8" spans="1:5" x14ac:dyDescent="0.25">
      <c r="A8" s="386">
        <v>43709</v>
      </c>
      <c r="B8">
        <v>12500</v>
      </c>
    </row>
    <row r="9" spans="1:5" x14ac:dyDescent="0.25">
      <c r="A9" s="386">
        <v>43739</v>
      </c>
      <c r="B9">
        <v>12500</v>
      </c>
    </row>
    <row r="10" spans="1:5" x14ac:dyDescent="0.25">
      <c r="A10" s="386">
        <v>43739</v>
      </c>
      <c r="B10">
        <v>12500</v>
      </c>
    </row>
    <row r="11" spans="1:5" x14ac:dyDescent="0.25">
      <c r="A11" s="386">
        <v>43770</v>
      </c>
      <c r="B11">
        <v>12500</v>
      </c>
    </row>
    <row r="12" spans="1:5" x14ac:dyDescent="0.25">
      <c r="A12" s="386">
        <v>43770</v>
      </c>
      <c r="B12">
        <v>12500</v>
      </c>
    </row>
    <row r="13" spans="1:5" x14ac:dyDescent="0.25">
      <c r="A13" s="386">
        <v>43800</v>
      </c>
      <c r="B13">
        <v>12500</v>
      </c>
    </row>
    <row r="14" spans="1:5" x14ac:dyDescent="0.25">
      <c r="A14" s="386">
        <v>43800</v>
      </c>
      <c r="B14">
        <v>12500</v>
      </c>
    </row>
    <row r="15" spans="1:5" x14ac:dyDescent="0.25">
      <c r="A15" s="386"/>
    </row>
    <row r="16" spans="1:5" x14ac:dyDescent="0.25">
      <c r="A16" s="386"/>
    </row>
    <row r="17" spans="1:1" x14ac:dyDescent="0.25">
      <c r="A17" s="386"/>
    </row>
    <row r="18" spans="1:1" x14ac:dyDescent="0.25">
      <c r="A18" s="386"/>
    </row>
    <row r="19" spans="1:1" x14ac:dyDescent="0.25">
      <c r="A19" s="386"/>
    </row>
    <row r="20" spans="1:1" x14ac:dyDescent="0.25">
      <c r="A20" s="386"/>
    </row>
    <row r="21" spans="1:1" x14ac:dyDescent="0.25">
      <c r="A21" s="386"/>
    </row>
    <row r="22" spans="1:1" x14ac:dyDescent="0.25">
      <c r="A22" s="386"/>
    </row>
    <row r="23" spans="1:1" x14ac:dyDescent="0.25">
      <c r="A23" s="386"/>
    </row>
    <row r="24" spans="1:1" x14ac:dyDescent="0.25">
      <c r="A24" s="386"/>
    </row>
    <row r="25" spans="1:1" x14ac:dyDescent="0.25">
      <c r="A25" s="386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C633-6253-487E-A361-595994E2BA46}">
  <sheetPr codeName="Sheet7"/>
  <dimension ref="A1:V143"/>
  <sheetViews>
    <sheetView zoomScaleNormal="100" workbookViewId="0">
      <pane xSplit="6" ySplit="11" topLeftCell="G108" activePane="bottomRight" state="frozen"/>
      <selection pane="topRight" activeCell="F1" sqref="F1"/>
      <selection pane="bottomLeft" activeCell="A12" sqref="A12"/>
      <selection pane="bottomRight" activeCell="F3" sqref="F3"/>
    </sheetView>
  </sheetViews>
  <sheetFormatPr defaultColWidth="15.85546875" defaultRowHeight="12.75" x14ac:dyDescent="0.2"/>
  <cols>
    <col min="1" max="1" width="8.5703125" style="2" bestFit="1" customWidth="1"/>
    <col min="2" max="2" width="21" style="2" bestFit="1" customWidth="1"/>
    <col min="3" max="4" width="10.42578125" style="2" bestFit="1" customWidth="1"/>
    <col min="5" max="5" width="10.42578125" style="2" customWidth="1"/>
    <col min="6" max="6" width="10.42578125" style="2" bestFit="1" customWidth="1"/>
    <col min="7" max="7" width="7.28515625" style="2" bestFit="1" customWidth="1"/>
    <col min="8" max="8" width="12.28515625" style="2" bestFit="1" customWidth="1"/>
    <col min="9" max="9" width="11.42578125" style="2" bestFit="1" customWidth="1"/>
    <col min="10" max="10" width="19.7109375" style="2" bestFit="1" customWidth="1"/>
    <col min="11" max="11" width="10.42578125" style="2" bestFit="1" customWidth="1"/>
    <col min="12" max="12" width="9.42578125" style="2" bestFit="1" customWidth="1"/>
    <col min="13" max="13" width="2.42578125" style="2" bestFit="1" customWidth="1"/>
    <col min="14" max="16384" width="15.85546875" style="2"/>
  </cols>
  <sheetData>
    <row r="1" spans="2:21" x14ac:dyDescent="0.2">
      <c r="C1" s="2">
        <v>760298.51</v>
      </c>
      <c r="D1" s="2">
        <v>1684207.9</v>
      </c>
    </row>
    <row r="2" spans="2:21" x14ac:dyDescent="0.2">
      <c r="B2" s="8" t="s">
        <v>235</v>
      </c>
      <c r="C2" s="8" t="s">
        <v>235</v>
      </c>
      <c r="D2" s="8" t="s">
        <v>303</v>
      </c>
      <c r="E2" s="8" t="s">
        <v>874</v>
      </c>
      <c r="F2" s="8" t="s">
        <v>18</v>
      </c>
      <c r="H2" s="5"/>
      <c r="I2" s="8" t="s">
        <v>875</v>
      </c>
      <c r="J2" s="8" t="s">
        <v>876</v>
      </c>
      <c r="N2" s="2">
        <v>2165572.25</v>
      </c>
      <c r="O2" s="2">
        <v>1038346.3</v>
      </c>
      <c r="Q2" s="2" t="s">
        <v>303</v>
      </c>
      <c r="R2" s="2" t="s">
        <v>235</v>
      </c>
      <c r="T2" s="672" t="s">
        <v>877</v>
      </c>
      <c r="U2" s="672"/>
    </row>
    <row r="3" spans="2:21" x14ac:dyDescent="0.2">
      <c r="B3" s="5" t="s">
        <v>260</v>
      </c>
      <c r="C3" s="244">
        <v>-1821584</v>
      </c>
      <c r="D3" s="244">
        <v>-2360555.6</v>
      </c>
      <c r="E3" s="244">
        <v>-26500</v>
      </c>
      <c r="F3" s="9">
        <f>SUM(C3:E3)</f>
        <v>-4208639.5999999996</v>
      </c>
      <c r="H3" s="243">
        <v>44000</v>
      </c>
      <c r="I3" s="4">
        <v>729665.24</v>
      </c>
      <c r="J3" s="5"/>
      <c r="K3" s="170"/>
      <c r="N3" s="2">
        <v>20250</v>
      </c>
      <c r="O3" s="2">
        <v>13514.2</v>
      </c>
      <c r="P3" s="2" t="s">
        <v>878</v>
      </c>
      <c r="Q3" s="2">
        <v>2160254.4</v>
      </c>
      <c r="R3" s="2">
        <v>850655.85</v>
      </c>
      <c r="T3" s="2" t="s">
        <v>235</v>
      </c>
      <c r="U3" s="2" t="s">
        <v>303</v>
      </c>
    </row>
    <row r="4" spans="2:21" x14ac:dyDescent="0.2">
      <c r="B4" s="5" t="s">
        <v>879</v>
      </c>
      <c r="C4" s="244">
        <v>50294.94</v>
      </c>
      <c r="D4" s="244">
        <v>15000</v>
      </c>
      <c r="E4" s="244">
        <v>15000</v>
      </c>
      <c r="F4" s="9">
        <f t="shared" ref="F4:F8" si="0">SUM(C4:E4)</f>
        <v>80294.94</v>
      </c>
      <c r="H4" s="243">
        <v>44001</v>
      </c>
      <c r="I4" s="4">
        <v>651992.62</v>
      </c>
      <c r="J4" s="4">
        <f>I3-I4</f>
        <v>77672.62</v>
      </c>
      <c r="N4" s="2">
        <v>67.5</v>
      </c>
      <c r="P4" s="2" t="s">
        <v>880</v>
      </c>
      <c r="T4" s="2">
        <v>-982</v>
      </c>
      <c r="U4" s="2">
        <v>-597.02</v>
      </c>
    </row>
    <row r="5" spans="2:21" x14ac:dyDescent="0.2">
      <c r="B5" s="5" t="s">
        <v>881</v>
      </c>
      <c r="C5" s="244">
        <f>N129</f>
        <v>95.28</v>
      </c>
      <c r="D5" s="244">
        <v>1369726.2</v>
      </c>
      <c r="E5" s="244">
        <v>0</v>
      </c>
      <c r="F5" s="9">
        <f t="shared" si="0"/>
        <v>1369821.48</v>
      </c>
      <c r="H5" s="243">
        <v>44004</v>
      </c>
      <c r="I5" s="4">
        <v>621110.73</v>
      </c>
      <c r="J5" s="4">
        <f>I4-I5</f>
        <v>30881.890000000014</v>
      </c>
      <c r="N5" s="2">
        <f>SUM(N2:N4)</f>
        <v>2185889.75</v>
      </c>
      <c r="O5" s="2">
        <f>SUM(O2:O4)</f>
        <v>1051860.5</v>
      </c>
      <c r="P5" s="2" t="s">
        <v>882</v>
      </c>
      <c r="Q5" s="2">
        <f>60*984.4 + 35*63.2</f>
        <v>61276</v>
      </c>
      <c r="R5" s="2">
        <f>740*326.55</f>
        <v>241647</v>
      </c>
      <c r="T5" s="2">
        <v>286.73</v>
      </c>
      <c r="U5" s="2">
        <v>72</v>
      </c>
    </row>
    <row r="6" spans="2:21" x14ac:dyDescent="0.2">
      <c r="B6" s="5" t="s">
        <v>883</v>
      </c>
      <c r="C6" s="244"/>
      <c r="D6" s="244"/>
      <c r="E6" s="244">
        <v>0</v>
      </c>
      <c r="F6" s="9">
        <f t="shared" si="0"/>
        <v>0</v>
      </c>
      <c r="H6" s="243">
        <v>44005</v>
      </c>
      <c r="I6" s="4">
        <v>529137.31000000006</v>
      </c>
      <c r="J6" s="4">
        <f t="shared" ref="J6:J37" si="1">I5-I6</f>
        <v>91973.419999999925</v>
      </c>
      <c r="T6" s="2">
        <v>2</v>
      </c>
      <c r="U6" s="2">
        <v>63</v>
      </c>
    </row>
    <row r="7" spans="2:21" x14ac:dyDescent="0.2">
      <c r="B7" s="5" t="s">
        <v>261</v>
      </c>
      <c r="C7" s="244"/>
      <c r="D7" s="244"/>
      <c r="E7" s="244">
        <v>0</v>
      </c>
      <c r="F7" s="9">
        <f t="shared" si="0"/>
        <v>0</v>
      </c>
      <c r="H7" s="243">
        <v>44006</v>
      </c>
      <c r="I7" s="4">
        <v>615924.51</v>
      </c>
      <c r="J7" s="4">
        <f t="shared" si="1"/>
        <v>-86787.199999999953</v>
      </c>
      <c r="T7" s="2">
        <v>2</v>
      </c>
      <c r="U7" s="2">
        <v>3</v>
      </c>
    </row>
    <row r="8" spans="2:21" x14ac:dyDescent="0.2">
      <c r="B8" s="5" t="s">
        <v>884</v>
      </c>
      <c r="C8" s="673">
        <f>SUM(B89:B110)</f>
        <v>23987.55</v>
      </c>
      <c r="D8" s="674"/>
      <c r="E8" s="244"/>
      <c r="F8" s="9">
        <f t="shared" si="0"/>
        <v>23987.55</v>
      </c>
      <c r="H8" s="243">
        <v>44007</v>
      </c>
      <c r="I8" s="4">
        <v>580316.16000000003</v>
      </c>
      <c r="J8" s="4">
        <f t="shared" si="1"/>
        <v>35608.349999999977</v>
      </c>
      <c r="P8" s="2" t="s">
        <v>18</v>
      </c>
      <c r="Q8" s="2">
        <f>SUM(Q3:Q7)</f>
        <v>2221530.4</v>
      </c>
      <c r="R8" s="2">
        <f>SUM(R3:R7)</f>
        <v>1092302.8500000001</v>
      </c>
      <c r="T8" s="2">
        <v>286</v>
      </c>
      <c r="U8" s="2">
        <v>3</v>
      </c>
    </row>
    <row r="9" spans="2:21" x14ac:dyDescent="0.2">
      <c r="B9" s="5"/>
      <c r="C9" s="244">
        <f>SUM(C3:C8)</f>
        <v>-1747206.23</v>
      </c>
      <c r="D9" s="244">
        <f>SUM(D3:D8)</f>
        <v>-975829.40000000014</v>
      </c>
      <c r="E9" s="244">
        <f>SUM(E3:E8)</f>
        <v>-11500</v>
      </c>
      <c r="F9" s="5"/>
      <c r="H9" s="243">
        <v>44008</v>
      </c>
      <c r="I9" s="4">
        <v>596248.18000000005</v>
      </c>
      <c r="J9" s="4">
        <f t="shared" si="1"/>
        <v>-15932.020000000019</v>
      </c>
    </row>
    <row r="10" spans="2:21" x14ac:dyDescent="0.2">
      <c r="B10" s="5"/>
      <c r="C10" s="244"/>
      <c r="D10" s="244"/>
      <c r="E10" s="244"/>
      <c r="F10" s="5"/>
      <c r="H10" s="243">
        <v>44011</v>
      </c>
      <c r="I10" s="4">
        <v>644389.18000000005</v>
      </c>
      <c r="J10" s="4">
        <f t="shared" si="1"/>
        <v>-48141</v>
      </c>
      <c r="T10" s="2">
        <f>SUM(T4:T9)</f>
        <v>-405.27</v>
      </c>
      <c r="U10" s="2">
        <f>SUM(U4:U9)</f>
        <v>-456.02</v>
      </c>
    </row>
    <row r="11" spans="2:21" x14ac:dyDescent="0.2">
      <c r="B11" s="370" t="s">
        <v>885</v>
      </c>
      <c r="C11" s="670">
        <f>SUBTOTAL(9,C3:D8)</f>
        <v>-2723035.6300000008</v>
      </c>
      <c r="D11" s="670"/>
      <c r="E11" s="377"/>
      <c r="F11" s="233">
        <f>SUM(F3:F10)</f>
        <v>-2734535.63</v>
      </c>
      <c r="H11" s="243">
        <v>44013</v>
      </c>
      <c r="I11" s="4">
        <v>586509.42000000004</v>
      </c>
      <c r="J11" s="4">
        <f t="shared" si="1"/>
        <v>57879.760000000009</v>
      </c>
    </row>
    <row r="12" spans="2:21" x14ac:dyDescent="0.2">
      <c r="H12" s="243">
        <v>44014</v>
      </c>
      <c r="I12" s="4">
        <v>579037.06000000006</v>
      </c>
      <c r="J12" s="4">
        <f t="shared" si="1"/>
        <v>7472.359999999986</v>
      </c>
    </row>
    <row r="13" spans="2:21" x14ac:dyDescent="0.2">
      <c r="B13" s="372"/>
      <c r="H13" s="243">
        <v>44015</v>
      </c>
      <c r="I13" s="4">
        <v>586379.37</v>
      </c>
      <c r="J13" s="4">
        <f t="shared" si="1"/>
        <v>-7342.3099999999395</v>
      </c>
    </row>
    <row r="14" spans="2:21" x14ac:dyDescent="0.2">
      <c r="B14" s="372"/>
      <c r="H14" s="243">
        <v>44018</v>
      </c>
      <c r="I14" s="4">
        <v>546299.81000000006</v>
      </c>
      <c r="J14" s="4">
        <f t="shared" si="1"/>
        <v>40079.559999999939</v>
      </c>
    </row>
    <row r="15" spans="2:21" x14ac:dyDescent="0.2">
      <c r="H15" s="243">
        <v>44019</v>
      </c>
      <c r="I15" s="4">
        <v>498595.01</v>
      </c>
      <c r="J15" s="4">
        <f t="shared" si="1"/>
        <v>47704.800000000047</v>
      </c>
    </row>
    <row r="16" spans="2:21" x14ac:dyDescent="0.2">
      <c r="H16" s="243">
        <v>44020</v>
      </c>
      <c r="I16" s="4">
        <v>507511.46</v>
      </c>
      <c r="J16" s="4">
        <f t="shared" si="1"/>
        <v>-8916.4500000000116</v>
      </c>
    </row>
    <row r="17" spans="2:12" x14ac:dyDescent="0.2">
      <c r="H17" s="243">
        <v>44021</v>
      </c>
      <c r="I17" s="4">
        <v>476433.96</v>
      </c>
      <c r="J17" s="4">
        <f t="shared" si="1"/>
        <v>31077.5</v>
      </c>
      <c r="L17" s="3"/>
    </row>
    <row r="18" spans="2:12" x14ac:dyDescent="0.2">
      <c r="H18" s="243">
        <v>44022</v>
      </c>
      <c r="I18" s="4">
        <v>488480.71</v>
      </c>
      <c r="J18" s="4">
        <f t="shared" si="1"/>
        <v>-12046.75</v>
      </c>
    </row>
    <row r="19" spans="2:12" x14ac:dyDescent="0.2">
      <c r="H19" s="243">
        <v>44025</v>
      </c>
      <c r="I19" s="4">
        <v>481329.27</v>
      </c>
      <c r="J19" s="4">
        <f t="shared" si="1"/>
        <v>7151.4400000000023</v>
      </c>
    </row>
    <row r="20" spans="2:12" x14ac:dyDescent="0.2">
      <c r="H20" s="243">
        <v>44026</v>
      </c>
      <c r="I20" s="4">
        <v>578638.41</v>
      </c>
      <c r="J20" s="4">
        <f t="shared" si="1"/>
        <v>-97309.140000000014</v>
      </c>
    </row>
    <row r="21" spans="2:12" x14ac:dyDescent="0.2">
      <c r="H21" s="243">
        <v>44027</v>
      </c>
      <c r="I21" s="4">
        <v>632622.66</v>
      </c>
      <c r="J21" s="4">
        <f t="shared" si="1"/>
        <v>-53984.25</v>
      </c>
    </row>
    <row r="22" spans="2:12" x14ac:dyDescent="0.2">
      <c r="H22" s="243">
        <v>44028</v>
      </c>
      <c r="I22" s="4">
        <v>649725.57999999996</v>
      </c>
      <c r="J22" s="4">
        <f t="shared" si="1"/>
        <v>-17102.919999999925</v>
      </c>
    </row>
    <row r="23" spans="2:12" x14ac:dyDescent="0.2">
      <c r="H23" s="243">
        <v>44029</v>
      </c>
      <c r="I23" s="4">
        <v>559471.48</v>
      </c>
      <c r="J23" s="4">
        <f t="shared" si="1"/>
        <v>90254.099999999977</v>
      </c>
    </row>
    <row r="24" spans="2:12" x14ac:dyDescent="0.2">
      <c r="H24" s="243">
        <v>44032</v>
      </c>
      <c r="I24" s="4">
        <v>490571.41</v>
      </c>
      <c r="J24" s="4">
        <f t="shared" si="1"/>
        <v>68900.070000000007</v>
      </c>
    </row>
    <row r="25" spans="2:12" x14ac:dyDescent="0.2">
      <c r="H25" s="243">
        <v>44033</v>
      </c>
      <c r="I25" s="4">
        <v>461591.36</v>
      </c>
      <c r="J25" s="4">
        <f t="shared" si="1"/>
        <v>28980.049999999988</v>
      </c>
    </row>
    <row r="26" spans="2:12" x14ac:dyDescent="0.2">
      <c r="H26" s="243">
        <v>44034</v>
      </c>
      <c r="I26" s="4">
        <v>484004.95</v>
      </c>
      <c r="J26" s="4">
        <f t="shared" si="1"/>
        <v>-22413.590000000026</v>
      </c>
    </row>
    <row r="27" spans="2:12" x14ac:dyDescent="0.2">
      <c r="H27" s="243">
        <v>44035</v>
      </c>
      <c r="I27" s="4">
        <v>453603.01</v>
      </c>
      <c r="J27" s="4">
        <f t="shared" si="1"/>
        <v>30401.940000000002</v>
      </c>
    </row>
    <row r="28" spans="2:12" x14ac:dyDescent="0.2">
      <c r="H28" s="243">
        <v>44036</v>
      </c>
      <c r="I28" s="4">
        <v>469226.94</v>
      </c>
      <c r="J28" s="4">
        <f t="shared" si="1"/>
        <v>-15623.929999999993</v>
      </c>
    </row>
    <row r="29" spans="2:12" x14ac:dyDescent="0.2">
      <c r="B29" s="373"/>
      <c r="H29" s="243">
        <v>44039</v>
      </c>
      <c r="I29" s="4">
        <v>540764.88</v>
      </c>
      <c r="J29" s="4">
        <f t="shared" si="1"/>
        <v>-71537.94</v>
      </c>
    </row>
    <row r="30" spans="2:12" x14ac:dyDescent="0.2">
      <c r="H30" s="243">
        <v>44040</v>
      </c>
      <c r="I30" s="4">
        <v>481694.81</v>
      </c>
      <c r="J30" s="4">
        <f t="shared" si="1"/>
        <v>59070.070000000007</v>
      </c>
    </row>
    <row r="31" spans="2:12" x14ac:dyDescent="0.2">
      <c r="B31" s="170"/>
      <c r="C31" s="170"/>
      <c r="D31" s="170"/>
      <c r="E31" s="170"/>
      <c r="F31" s="170"/>
      <c r="H31" s="243">
        <v>44041</v>
      </c>
      <c r="I31" s="4">
        <v>457841.05</v>
      </c>
      <c r="J31" s="4">
        <f t="shared" si="1"/>
        <v>23853.760000000009</v>
      </c>
    </row>
    <row r="32" spans="2:12" x14ac:dyDescent="0.2">
      <c r="C32" s="373"/>
      <c r="D32" s="373"/>
      <c r="E32" s="373"/>
      <c r="F32" s="374"/>
      <c r="H32" s="243">
        <v>44042</v>
      </c>
      <c r="I32" s="4">
        <v>519689.18</v>
      </c>
      <c r="J32" s="4">
        <f t="shared" si="1"/>
        <v>-61848.130000000005</v>
      </c>
    </row>
    <row r="33" spans="2:11" x14ac:dyDescent="0.2">
      <c r="C33" s="373"/>
      <c r="D33" s="373"/>
      <c r="E33" s="373"/>
      <c r="F33" s="3"/>
      <c r="H33" s="243">
        <v>44043</v>
      </c>
      <c r="I33" s="4">
        <v>487144.38</v>
      </c>
      <c r="J33" s="4">
        <f t="shared" si="1"/>
        <v>32544.799999999988</v>
      </c>
    </row>
    <row r="34" spans="2:11" x14ac:dyDescent="0.2">
      <c r="C34" s="373"/>
      <c r="D34" s="373"/>
      <c r="E34" s="373"/>
      <c r="F34" s="374"/>
      <c r="H34" s="243">
        <v>44046</v>
      </c>
      <c r="I34" s="4">
        <v>567903.78</v>
      </c>
      <c r="J34" s="4">
        <f t="shared" si="1"/>
        <v>-80759.400000000023</v>
      </c>
    </row>
    <row r="35" spans="2:11" x14ac:dyDescent="0.2">
      <c r="C35" s="373"/>
      <c r="D35" s="373"/>
      <c r="E35" s="373"/>
      <c r="F35" s="374"/>
      <c r="H35" s="243">
        <v>44047</v>
      </c>
      <c r="I35" s="4">
        <v>526254.32999999996</v>
      </c>
      <c r="J35" s="4">
        <f t="shared" si="1"/>
        <v>41649.45000000007</v>
      </c>
    </row>
    <row r="36" spans="2:11" x14ac:dyDescent="0.2">
      <c r="C36" s="373"/>
      <c r="D36" s="373"/>
      <c r="E36" s="373"/>
      <c r="F36" s="374"/>
      <c r="H36" s="243">
        <v>44048</v>
      </c>
      <c r="I36" s="4">
        <v>514550.08</v>
      </c>
      <c r="J36" s="4">
        <f t="shared" si="1"/>
        <v>11704.249999999942</v>
      </c>
    </row>
    <row r="37" spans="2:11" x14ac:dyDescent="0.2">
      <c r="C37" s="373"/>
      <c r="D37" s="373"/>
      <c r="E37" s="373"/>
      <c r="F37" s="373"/>
      <c r="H37" s="243">
        <v>44049</v>
      </c>
      <c r="I37" s="4">
        <v>504427.29</v>
      </c>
      <c r="J37" s="4">
        <f t="shared" si="1"/>
        <v>10122.790000000037</v>
      </c>
    </row>
    <row r="38" spans="2:11" x14ac:dyDescent="0.2">
      <c r="C38" s="373"/>
      <c r="D38" s="373"/>
      <c r="E38" s="373"/>
      <c r="H38" s="243">
        <v>44050</v>
      </c>
      <c r="I38" s="4">
        <v>459950.39</v>
      </c>
      <c r="J38" s="4">
        <f t="shared" ref="J38:J54" si="2">I37-I38</f>
        <v>44476.899999999965</v>
      </c>
      <c r="K38" s="3"/>
    </row>
    <row r="39" spans="2:11" x14ac:dyDescent="0.2">
      <c r="C39" s="373"/>
      <c r="D39" s="373"/>
      <c r="E39" s="373"/>
      <c r="H39" s="243">
        <v>44053</v>
      </c>
      <c r="I39" s="4">
        <v>408294.97</v>
      </c>
      <c r="J39" s="4">
        <f t="shared" si="2"/>
        <v>51655.420000000042</v>
      </c>
    </row>
    <row r="40" spans="2:11" x14ac:dyDescent="0.2">
      <c r="C40" s="671"/>
      <c r="D40" s="671"/>
      <c r="E40" s="378"/>
      <c r="F40" s="3"/>
      <c r="H40" s="243">
        <v>44054</v>
      </c>
      <c r="I40" s="4">
        <v>406749.46</v>
      </c>
      <c r="J40" s="4">
        <f t="shared" si="2"/>
        <v>1545.5099999999511</v>
      </c>
    </row>
    <row r="41" spans="2:11" x14ac:dyDescent="0.2">
      <c r="H41" s="243">
        <v>44055</v>
      </c>
      <c r="I41" s="4">
        <v>425859.39</v>
      </c>
      <c r="J41" s="4">
        <f t="shared" si="2"/>
        <v>-19109.929999999993</v>
      </c>
    </row>
    <row r="42" spans="2:11" x14ac:dyDescent="0.2">
      <c r="H42" s="243">
        <v>44056</v>
      </c>
      <c r="I42" s="4">
        <v>431592.48</v>
      </c>
      <c r="J42" s="4">
        <f t="shared" si="2"/>
        <v>-5733.0899999999674</v>
      </c>
    </row>
    <row r="43" spans="2:11" x14ac:dyDescent="0.2">
      <c r="H43" s="243">
        <v>44057</v>
      </c>
      <c r="I43" s="4">
        <v>479811.17</v>
      </c>
      <c r="J43" s="4">
        <f t="shared" si="2"/>
        <v>-48218.69</v>
      </c>
    </row>
    <row r="44" spans="2:11" x14ac:dyDescent="0.2">
      <c r="H44" s="243">
        <v>44060</v>
      </c>
      <c r="I44" s="4">
        <v>447876.02</v>
      </c>
      <c r="J44" s="4">
        <f t="shared" si="2"/>
        <v>31935.149999999965</v>
      </c>
    </row>
    <row r="45" spans="2:11" x14ac:dyDescent="0.2">
      <c r="B45" s="124"/>
      <c r="H45" s="243">
        <v>44061</v>
      </c>
      <c r="I45" s="4">
        <v>390790.22</v>
      </c>
      <c r="J45" s="4">
        <f t="shared" si="2"/>
        <v>57085.800000000047</v>
      </c>
    </row>
    <row r="46" spans="2:11" x14ac:dyDescent="0.2">
      <c r="H46" s="243">
        <v>44062</v>
      </c>
      <c r="I46" s="4">
        <v>384213.6</v>
      </c>
      <c r="J46" s="4">
        <f t="shared" si="2"/>
        <v>6576.6199999999953</v>
      </c>
    </row>
    <row r="47" spans="2:11" x14ac:dyDescent="0.2">
      <c r="H47" s="243">
        <v>44063</v>
      </c>
      <c r="I47" s="4">
        <v>419835.27</v>
      </c>
      <c r="J47" s="4">
        <f t="shared" si="2"/>
        <v>-35621.670000000042</v>
      </c>
    </row>
    <row r="48" spans="2:11" x14ac:dyDescent="0.2">
      <c r="H48" s="243">
        <v>44064</v>
      </c>
      <c r="I48" s="4">
        <v>408478.71</v>
      </c>
      <c r="J48" s="4">
        <f t="shared" si="2"/>
        <v>11356.559999999998</v>
      </c>
    </row>
    <row r="49" spans="8:11" x14ac:dyDescent="0.2">
      <c r="H49" s="243">
        <v>44067</v>
      </c>
      <c r="I49" s="4">
        <v>397567.48</v>
      </c>
      <c r="J49" s="4">
        <f t="shared" si="2"/>
        <v>10911.23000000004</v>
      </c>
    </row>
    <row r="50" spans="8:11" x14ac:dyDescent="0.2">
      <c r="H50" s="243">
        <v>44068</v>
      </c>
      <c r="I50" s="4">
        <v>331989.13</v>
      </c>
      <c r="J50" s="4">
        <f t="shared" si="2"/>
        <v>65578.349999999977</v>
      </c>
    </row>
    <row r="51" spans="8:11" x14ac:dyDescent="0.2">
      <c r="H51" s="243">
        <v>44069</v>
      </c>
      <c r="I51" s="4">
        <v>341667.13</v>
      </c>
      <c r="J51" s="4">
        <f t="shared" si="2"/>
        <v>-9678</v>
      </c>
    </row>
    <row r="52" spans="8:11" x14ac:dyDescent="0.2">
      <c r="H52" s="243">
        <v>44070</v>
      </c>
      <c r="I52" s="4">
        <v>307891.88</v>
      </c>
      <c r="J52" s="4">
        <f t="shared" si="2"/>
        <v>33775.25</v>
      </c>
    </row>
    <row r="53" spans="8:11" x14ac:dyDescent="0.2">
      <c r="H53" s="243">
        <v>44071</v>
      </c>
      <c r="I53" s="4">
        <v>330352.45</v>
      </c>
      <c r="J53" s="4">
        <f t="shared" si="2"/>
        <v>-22460.570000000007</v>
      </c>
      <c r="K53" s="3"/>
    </row>
    <row r="54" spans="8:11" x14ac:dyDescent="0.2">
      <c r="H54" s="243">
        <v>44074</v>
      </c>
      <c r="I54" s="4">
        <v>505336.91</v>
      </c>
      <c r="J54" s="4">
        <f t="shared" si="2"/>
        <v>-174984.45999999996</v>
      </c>
      <c r="K54" s="3"/>
    </row>
    <row r="55" spans="8:11" x14ac:dyDescent="0.2">
      <c r="H55" s="243">
        <v>44075</v>
      </c>
      <c r="I55" s="4">
        <v>492253.3</v>
      </c>
      <c r="J55" s="4">
        <f t="shared" ref="J55:J87" si="3">I54-I55</f>
        <v>13083.609999999986</v>
      </c>
    </row>
    <row r="56" spans="8:11" x14ac:dyDescent="0.2">
      <c r="H56" s="243">
        <v>44076</v>
      </c>
      <c r="I56" s="4">
        <v>439065.05</v>
      </c>
      <c r="J56" s="4">
        <f t="shared" si="3"/>
        <v>53188.25</v>
      </c>
    </row>
    <row r="57" spans="8:11" x14ac:dyDescent="0.2">
      <c r="H57" s="243">
        <v>44077</v>
      </c>
      <c r="I57" s="4">
        <v>429808.5</v>
      </c>
      <c r="J57" s="4">
        <f t="shared" si="3"/>
        <v>9256.5499999999884</v>
      </c>
    </row>
    <row r="58" spans="8:11" x14ac:dyDescent="0.2">
      <c r="H58" s="243">
        <v>44078</v>
      </c>
      <c r="I58" s="4">
        <v>485900.55</v>
      </c>
      <c r="J58" s="4">
        <f t="shared" si="3"/>
        <v>-56092.049999999988</v>
      </c>
    </row>
    <row r="59" spans="8:11" x14ac:dyDescent="0.2">
      <c r="H59" s="243">
        <v>44081</v>
      </c>
      <c r="I59" s="4">
        <v>499071.55</v>
      </c>
      <c r="J59" s="4">
        <f t="shared" si="3"/>
        <v>-13171</v>
      </c>
    </row>
    <row r="60" spans="8:11" x14ac:dyDescent="0.2">
      <c r="H60" s="243">
        <v>44082</v>
      </c>
      <c r="I60" s="4">
        <v>502644.05</v>
      </c>
      <c r="J60" s="4">
        <f t="shared" si="3"/>
        <v>-3572.5</v>
      </c>
    </row>
    <row r="61" spans="8:11" x14ac:dyDescent="0.2">
      <c r="H61" s="243">
        <v>44083</v>
      </c>
      <c r="I61" s="4">
        <v>539633.85</v>
      </c>
      <c r="J61" s="4">
        <f t="shared" si="3"/>
        <v>-36989.799999999988</v>
      </c>
    </row>
    <row r="62" spans="8:11" x14ac:dyDescent="0.2">
      <c r="H62" s="243">
        <v>44084</v>
      </c>
      <c r="I62" s="4">
        <v>485565.22</v>
      </c>
      <c r="J62" s="4">
        <f t="shared" si="3"/>
        <v>54068.630000000005</v>
      </c>
    </row>
    <row r="63" spans="8:11" x14ac:dyDescent="0.2">
      <c r="H63" s="243">
        <v>44085</v>
      </c>
      <c r="I63" s="4">
        <v>452381.52</v>
      </c>
      <c r="J63" s="4">
        <f t="shared" si="3"/>
        <v>33183.699999999953</v>
      </c>
    </row>
    <row r="64" spans="8:11" x14ac:dyDescent="0.2">
      <c r="H64" s="243">
        <v>44088</v>
      </c>
      <c r="I64" s="4">
        <v>415691.9</v>
      </c>
      <c r="J64" s="4">
        <f t="shared" si="3"/>
        <v>36689.619999999995</v>
      </c>
    </row>
    <row r="65" spans="2:11" x14ac:dyDescent="0.2">
      <c r="H65" s="243">
        <v>44089</v>
      </c>
      <c r="I65" s="4">
        <v>378684.5</v>
      </c>
      <c r="J65" s="4">
        <f t="shared" si="3"/>
        <v>37007.400000000023</v>
      </c>
    </row>
    <row r="66" spans="2:11" x14ac:dyDescent="0.2">
      <c r="H66" s="243">
        <v>44090</v>
      </c>
      <c r="I66" s="233">
        <v>297789.28000000003</v>
      </c>
      <c r="J66" s="4">
        <f t="shared" si="3"/>
        <v>80895.219999999972</v>
      </c>
      <c r="K66" s="3">
        <f t="shared" ref="K66:K70" si="4">$I$3-I66</f>
        <v>431875.95999999996</v>
      </c>
    </row>
    <row r="67" spans="2:11" x14ac:dyDescent="0.2">
      <c r="H67" s="243">
        <v>44091</v>
      </c>
      <c r="I67" s="233">
        <v>293622.58</v>
      </c>
      <c r="J67" s="4">
        <f t="shared" si="3"/>
        <v>4166.7000000000116</v>
      </c>
      <c r="K67" s="3">
        <f t="shared" si="4"/>
        <v>436042.66</v>
      </c>
    </row>
    <row r="68" spans="2:11" x14ac:dyDescent="0.2">
      <c r="H68" s="243">
        <v>44092</v>
      </c>
      <c r="I68" s="233">
        <v>261886.98</v>
      </c>
      <c r="J68" s="4">
        <f t="shared" si="3"/>
        <v>31735.600000000006</v>
      </c>
      <c r="K68" s="3">
        <f t="shared" si="4"/>
        <v>467778.26</v>
      </c>
    </row>
    <row r="69" spans="2:11" x14ac:dyDescent="0.2">
      <c r="H69" s="243">
        <v>44095</v>
      </c>
      <c r="I69" s="4">
        <v>417260.26</v>
      </c>
      <c r="J69" s="4">
        <f t="shared" si="3"/>
        <v>-155373.28</v>
      </c>
      <c r="K69" s="3">
        <f t="shared" si="4"/>
        <v>312404.98</v>
      </c>
    </row>
    <row r="70" spans="2:11" x14ac:dyDescent="0.2">
      <c r="H70" s="243">
        <v>44096</v>
      </c>
      <c r="I70" s="4">
        <v>493405.75</v>
      </c>
      <c r="J70" s="4">
        <f t="shared" si="3"/>
        <v>-76145.489999999991</v>
      </c>
      <c r="K70" s="3">
        <f t="shared" si="4"/>
        <v>236259.49</v>
      </c>
    </row>
    <row r="71" spans="2:11" x14ac:dyDescent="0.2">
      <c r="H71" s="243">
        <v>44097</v>
      </c>
      <c r="I71" s="4">
        <v>498291.16</v>
      </c>
      <c r="J71" s="4">
        <f t="shared" si="3"/>
        <v>-4885.4099999999744</v>
      </c>
      <c r="K71" s="3">
        <f>$I$3-I71</f>
        <v>231374.08000000002</v>
      </c>
    </row>
    <row r="72" spans="2:11" x14ac:dyDescent="0.2">
      <c r="H72" s="243">
        <v>44098</v>
      </c>
      <c r="I72" s="4">
        <v>628527.16</v>
      </c>
      <c r="J72" s="4">
        <f t="shared" si="3"/>
        <v>-130236.00000000006</v>
      </c>
      <c r="K72" s="3">
        <f>$I$3-I72</f>
        <v>101138.07999999996</v>
      </c>
    </row>
    <row r="73" spans="2:11" x14ac:dyDescent="0.2">
      <c r="H73" s="243">
        <v>44099</v>
      </c>
      <c r="I73" s="4">
        <v>540546.21</v>
      </c>
      <c r="J73" s="4">
        <f t="shared" si="3"/>
        <v>87980.95000000007</v>
      </c>
      <c r="K73" s="3">
        <f t="shared" ref="K73:K87" si="5">$I$3-I73</f>
        <v>189119.03000000003</v>
      </c>
    </row>
    <row r="74" spans="2:11" x14ac:dyDescent="0.2">
      <c r="B74" s="2" t="s">
        <v>874</v>
      </c>
      <c r="H74" s="243">
        <v>44102</v>
      </c>
      <c r="I74" s="4">
        <v>435819.41</v>
      </c>
      <c r="J74" s="4">
        <f t="shared" si="3"/>
        <v>104726.79999999999</v>
      </c>
      <c r="K74" s="3">
        <f t="shared" si="5"/>
        <v>293845.83</v>
      </c>
    </row>
    <row r="75" spans="2:11" x14ac:dyDescent="0.2">
      <c r="B75" s="2" t="s">
        <v>886</v>
      </c>
      <c r="C75" s="2">
        <v>24000</v>
      </c>
      <c r="H75" s="243">
        <v>44103</v>
      </c>
      <c r="I75" s="4">
        <v>495093.31</v>
      </c>
      <c r="J75" s="4">
        <f t="shared" si="3"/>
        <v>-59273.900000000023</v>
      </c>
      <c r="K75" s="3">
        <f t="shared" si="5"/>
        <v>234571.93</v>
      </c>
    </row>
    <row r="76" spans="2:11" x14ac:dyDescent="0.2">
      <c r="B76" s="2" t="s">
        <v>887</v>
      </c>
      <c r="C76" s="379">
        <v>-3974</v>
      </c>
      <c r="H76" s="243">
        <v>44104</v>
      </c>
      <c r="I76" s="4">
        <v>515968.31</v>
      </c>
      <c r="J76" s="4">
        <f t="shared" si="3"/>
        <v>-20875</v>
      </c>
      <c r="K76" s="3">
        <f t="shared" si="5"/>
        <v>213696.93</v>
      </c>
    </row>
    <row r="77" spans="2:11" x14ac:dyDescent="0.2">
      <c r="B77" s="2" t="s">
        <v>888</v>
      </c>
      <c r="C77" s="2">
        <f>-75*228.33</f>
        <v>-17124.75</v>
      </c>
      <c r="D77" s="2">
        <f>C77/75</f>
        <v>-228.33</v>
      </c>
      <c r="H77" s="243">
        <v>44105</v>
      </c>
      <c r="I77" s="4">
        <v>483399.96</v>
      </c>
      <c r="J77" s="4">
        <f t="shared" si="3"/>
        <v>32568.349999999977</v>
      </c>
      <c r="K77" s="3">
        <f t="shared" si="5"/>
        <v>246265.27999999997</v>
      </c>
    </row>
    <row r="78" spans="2:11" x14ac:dyDescent="0.2">
      <c r="C78" s="2">
        <f>-19000*0.1</f>
        <v>-1900</v>
      </c>
      <c r="H78" s="243">
        <v>44109</v>
      </c>
      <c r="I78" s="4">
        <v>409001.04</v>
      </c>
      <c r="J78" s="4">
        <f t="shared" si="3"/>
        <v>74398.920000000042</v>
      </c>
      <c r="K78" s="3">
        <f t="shared" si="5"/>
        <v>320664.2</v>
      </c>
    </row>
    <row r="79" spans="2:11" x14ac:dyDescent="0.2">
      <c r="B79" s="2" t="s">
        <v>889</v>
      </c>
      <c r="C79" s="2">
        <f>-1734.75 + 375</f>
        <v>-1359.75</v>
      </c>
      <c r="H79" s="243">
        <v>44110</v>
      </c>
      <c r="I79" s="4">
        <v>341791.99</v>
      </c>
      <c r="J79" s="4">
        <f t="shared" si="3"/>
        <v>67209.049999999988</v>
      </c>
      <c r="K79" s="3">
        <f t="shared" si="5"/>
        <v>387873.25</v>
      </c>
    </row>
    <row r="80" spans="2:11" x14ac:dyDescent="0.2">
      <c r="H80" s="243">
        <v>44111</v>
      </c>
      <c r="I80" s="4">
        <v>338795.19</v>
      </c>
      <c r="J80" s="4">
        <f t="shared" si="3"/>
        <v>2996.7999999999884</v>
      </c>
      <c r="K80" s="3">
        <f t="shared" si="5"/>
        <v>390870.05</v>
      </c>
    </row>
    <row r="81" spans="1:22" x14ac:dyDescent="0.2">
      <c r="B81" s="2" t="s">
        <v>0</v>
      </c>
      <c r="C81" s="2">
        <f>SUM(C75:C80)</f>
        <v>-358.5</v>
      </c>
      <c r="H81" s="243">
        <v>44112</v>
      </c>
      <c r="I81" s="375">
        <v>323227.81</v>
      </c>
      <c r="J81" s="4">
        <f t="shared" si="3"/>
        <v>15567.380000000005</v>
      </c>
      <c r="K81" s="3">
        <f t="shared" si="5"/>
        <v>406437.43</v>
      </c>
    </row>
    <row r="82" spans="1:22" x14ac:dyDescent="0.2">
      <c r="H82" s="243">
        <v>44113</v>
      </c>
      <c r="I82" s="4">
        <v>330020.88</v>
      </c>
      <c r="J82" s="4">
        <f t="shared" si="3"/>
        <v>-6793.070000000007</v>
      </c>
      <c r="K82" s="3">
        <f t="shared" si="5"/>
        <v>399644.36</v>
      </c>
    </row>
    <row r="83" spans="1:22" x14ac:dyDescent="0.2">
      <c r="H83" s="243">
        <v>44116</v>
      </c>
      <c r="I83" s="4">
        <v>371225.93</v>
      </c>
      <c r="J83" s="4">
        <f t="shared" si="3"/>
        <v>-41205.049999999988</v>
      </c>
      <c r="K83" s="3">
        <f t="shared" si="5"/>
        <v>358439.31</v>
      </c>
    </row>
    <row r="84" spans="1:22" x14ac:dyDescent="0.2">
      <c r="H84" s="243">
        <v>44117</v>
      </c>
      <c r="I84" s="4">
        <v>415102.33</v>
      </c>
      <c r="J84" s="4">
        <f t="shared" si="3"/>
        <v>-43876.400000000023</v>
      </c>
      <c r="K84" s="3">
        <f t="shared" si="5"/>
        <v>314562.90999999997</v>
      </c>
    </row>
    <row r="85" spans="1:22" x14ac:dyDescent="0.2">
      <c r="H85" s="243">
        <v>44118</v>
      </c>
      <c r="I85" s="4">
        <v>400840</v>
      </c>
      <c r="J85" s="4">
        <f t="shared" si="3"/>
        <v>14262.330000000016</v>
      </c>
      <c r="K85" s="3">
        <f t="shared" si="5"/>
        <v>328825.24</v>
      </c>
      <c r="U85" s="2">
        <v>164.09</v>
      </c>
      <c r="V85" s="2" t="s">
        <v>890</v>
      </c>
    </row>
    <row r="86" spans="1:22" x14ac:dyDescent="0.2">
      <c r="H86" s="243">
        <v>44119</v>
      </c>
      <c r="I86" s="4">
        <v>477614.08000000002</v>
      </c>
      <c r="J86" s="4">
        <f t="shared" si="3"/>
        <v>-76774.080000000016</v>
      </c>
      <c r="K86" s="3">
        <f t="shared" si="5"/>
        <v>252051.15999999997</v>
      </c>
      <c r="U86" s="2">
        <v>144.38999999999999</v>
      </c>
      <c r="V86" s="2" t="s">
        <v>891</v>
      </c>
    </row>
    <row r="87" spans="1:22" x14ac:dyDescent="0.2">
      <c r="H87" s="243">
        <v>44120</v>
      </c>
      <c r="I87" s="4">
        <v>457969.56</v>
      </c>
      <c r="J87" s="4">
        <f t="shared" si="3"/>
        <v>19644.520000000019</v>
      </c>
      <c r="K87" s="3">
        <f t="shared" si="5"/>
        <v>271695.68</v>
      </c>
      <c r="U87" s="2">
        <v>95.68</v>
      </c>
      <c r="V87" s="2" t="s">
        <v>892</v>
      </c>
    </row>
    <row r="88" spans="1:22" x14ac:dyDescent="0.2">
      <c r="A88" s="5" t="s">
        <v>210</v>
      </c>
      <c r="B88" s="5" t="s">
        <v>893</v>
      </c>
      <c r="C88" s="5" t="s">
        <v>1</v>
      </c>
      <c r="H88" s="243">
        <v>44123</v>
      </c>
      <c r="I88" s="4">
        <v>448443.17</v>
      </c>
      <c r="J88" s="4">
        <f t="shared" ref="J88:J105" si="6">I87-I88</f>
        <v>9526.390000000014</v>
      </c>
      <c r="K88" s="3">
        <f t="shared" ref="K88:K105" si="7">$I$3-I88</f>
        <v>281222.07</v>
      </c>
      <c r="U88" s="2">
        <v>151.4</v>
      </c>
      <c r="V88" s="2" t="s">
        <v>894</v>
      </c>
    </row>
    <row r="89" spans="1:22" x14ac:dyDescent="0.2">
      <c r="A89" s="5" t="s">
        <v>895</v>
      </c>
      <c r="B89" s="5">
        <v>523</v>
      </c>
      <c r="C89" s="243">
        <v>44060</v>
      </c>
      <c r="H89" s="243">
        <v>44124</v>
      </c>
      <c r="I89" s="4">
        <v>425461.23</v>
      </c>
      <c r="J89" s="4">
        <f t="shared" si="6"/>
        <v>22981.940000000002</v>
      </c>
      <c r="K89" s="3">
        <f t="shared" si="7"/>
        <v>304204.01</v>
      </c>
      <c r="U89" s="2">
        <v>251.84</v>
      </c>
      <c r="V89" s="2" t="s">
        <v>894</v>
      </c>
    </row>
    <row r="90" spans="1:22" x14ac:dyDescent="0.2">
      <c r="A90" s="5" t="s">
        <v>896</v>
      </c>
      <c r="B90" s="5">
        <v>4694</v>
      </c>
      <c r="C90" s="243">
        <v>44082</v>
      </c>
      <c r="H90" s="243">
        <v>44125</v>
      </c>
      <c r="I90" s="4">
        <v>403497.99</v>
      </c>
      <c r="J90" s="4">
        <f t="shared" si="6"/>
        <v>21963.239999999991</v>
      </c>
      <c r="K90" s="3">
        <f t="shared" si="7"/>
        <v>326167.25</v>
      </c>
      <c r="U90" s="2">
        <v>109.97</v>
      </c>
      <c r="V90" s="2" t="s">
        <v>256</v>
      </c>
    </row>
    <row r="91" spans="1:22" x14ac:dyDescent="0.2">
      <c r="A91" s="5" t="s">
        <v>897</v>
      </c>
      <c r="B91" s="5">
        <v>4936</v>
      </c>
      <c r="C91" s="243">
        <v>44156</v>
      </c>
      <c r="H91" s="243">
        <v>44126</v>
      </c>
      <c r="I91" s="4">
        <v>435725.54</v>
      </c>
      <c r="J91" s="4">
        <f t="shared" si="6"/>
        <v>-32227.549999999988</v>
      </c>
      <c r="K91" s="3">
        <f t="shared" si="7"/>
        <v>293939.7</v>
      </c>
    </row>
    <row r="92" spans="1:22" x14ac:dyDescent="0.2">
      <c r="A92" s="5" t="s">
        <v>898</v>
      </c>
      <c r="B92" s="5">
        <v>173.6</v>
      </c>
      <c r="C92" s="243">
        <v>44154</v>
      </c>
      <c r="H92" s="243">
        <v>44127</v>
      </c>
      <c r="I92" s="4">
        <v>809079.93</v>
      </c>
      <c r="J92" s="4">
        <f t="shared" si="6"/>
        <v>-373354.39000000007</v>
      </c>
      <c r="K92" s="3">
        <f t="shared" si="7"/>
        <v>-79414.690000000061</v>
      </c>
      <c r="U92" s="2">
        <f>SUM(U85:U91)</f>
        <v>917.37000000000012</v>
      </c>
      <c r="V92" s="2" t="s">
        <v>18</v>
      </c>
    </row>
    <row r="93" spans="1:22" x14ac:dyDescent="0.2">
      <c r="A93" s="5"/>
      <c r="B93" s="5">
        <v>44</v>
      </c>
      <c r="C93" s="243">
        <v>44154</v>
      </c>
      <c r="H93" s="243">
        <v>44130</v>
      </c>
      <c r="I93" s="4">
        <v>1059251.6299999999</v>
      </c>
      <c r="J93" s="4">
        <f t="shared" si="6"/>
        <v>-250171.69999999984</v>
      </c>
      <c r="K93" s="3">
        <f t="shared" si="7"/>
        <v>-329586.3899999999</v>
      </c>
    </row>
    <row r="94" spans="1:22" x14ac:dyDescent="0.2">
      <c r="A94" s="5" t="s">
        <v>121</v>
      </c>
      <c r="B94" s="5">
        <v>2.5</v>
      </c>
      <c r="C94" s="243">
        <v>44152</v>
      </c>
      <c r="H94" s="243">
        <v>44131</v>
      </c>
      <c r="I94" s="4">
        <v>1459538.61</v>
      </c>
      <c r="J94" s="4">
        <f t="shared" si="6"/>
        <v>-400286.98000000021</v>
      </c>
      <c r="K94" s="3">
        <f t="shared" si="7"/>
        <v>-729873.37000000011</v>
      </c>
    </row>
    <row r="95" spans="1:22" x14ac:dyDescent="0.2">
      <c r="A95" s="5"/>
      <c r="B95" s="5">
        <v>35</v>
      </c>
      <c r="C95" s="5"/>
      <c r="H95" s="243">
        <v>44132</v>
      </c>
      <c r="I95" s="4">
        <v>1735877.85</v>
      </c>
      <c r="J95" s="4">
        <f t="shared" si="6"/>
        <v>-276339.24</v>
      </c>
      <c r="K95" s="3">
        <f t="shared" si="7"/>
        <v>-1006212.6100000001</v>
      </c>
    </row>
    <row r="96" spans="1:22" x14ac:dyDescent="0.2">
      <c r="A96" s="5" t="s">
        <v>899</v>
      </c>
      <c r="B96" s="5">
        <v>825</v>
      </c>
      <c r="C96" s="243">
        <v>44148</v>
      </c>
      <c r="H96" s="243">
        <v>44138</v>
      </c>
      <c r="I96" s="4">
        <v>2050878.21</v>
      </c>
      <c r="J96" s="4">
        <f t="shared" si="6"/>
        <v>-315000.35999999987</v>
      </c>
      <c r="K96" s="3">
        <f t="shared" si="7"/>
        <v>-1321212.97</v>
      </c>
    </row>
    <row r="97" spans="1:21" x14ac:dyDescent="0.2">
      <c r="A97" s="5" t="s">
        <v>250</v>
      </c>
      <c r="B97" s="5">
        <v>1350</v>
      </c>
      <c r="C97" s="243">
        <v>43921</v>
      </c>
      <c r="H97" s="243">
        <v>44144</v>
      </c>
      <c r="I97" s="4">
        <v>1973393.6</v>
      </c>
      <c r="J97" s="4">
        <f t="shared" si="6"/>
        <v>77484.60999999987</v>
      </c>
      <c r="K97" s="3">
        <f t="shared" si="7"/>
        <v>-1243728.3600000001</v>
      </c>
    </row>
    <row r="98" spans="1:21" x14ac:dyDescent="0.2">
      <c r="A98" s="5" t="s">
        <v>304</v>
      </c>
      <c r="B98" s="5">
        <v>60</v>
      </c>
      <c r="C98" s="243">
        <v>43920</v>
      </c>
      <c r="H98" s="243">
        <v>44147</v>
      </c>
      <c r="I98" s="4">
        <v>2017920.53</v>
      </c>
      <c r="J98" s="4">
        <f t="shared" si="6"/>
        <v>-44526.929999999935</v>
      </c>
      <c r="K98" s="3">
        <f t="shared" si="7"/>
        <v>-1288255.29</v>
      </c>
    </row>
    <row r="99" spans="1:21" x14ac:dyDescent="0.2">
      <c r="A99" s="5" t="s">
        <v>301</v>
      </c>
      <c r="B99" s="5">
        <v>10000</v>
      </c>
      <c r="C99" s="243">
        <v>43917</v>
      </c>
      <c r="H99" s="243">
        <v>44151</v>
      </c>
      <c r="I99" s="4">
        <v>1917557.4</v>
      </c>
      <c r="J99" s="4">
        <f t="shared" si="6"/>
        <v>100363.13000000012</v>
      </c>
      <c r="K99" s="3">
        <f t="shared" si="7"/>
        <v>-1187892.1599999999</v>
      </c>
    </row>
    <row r="100" spans="1:21" x14ac:dyDescent="0.2">
      <c r="A100" s="5" t="s">
        <v>900</v>
      </c>
      <c r="B100" s="5">
        <v>360</v>
      </c>
      <c r="C100" s="243">
        <v>43907</v>
      </c>
      <c r="H100" s="243">
        <v>44152</v>
      </c>
      <c r="I100" s="4">
        <v>1923394</v>
      </c>
      <c r="J100" s="4">
        <f t="shared" si="6"/>
        <v>-5836.6000000000931</v>
      </c>
      <c r="K100" s="3">
        <f t="shared" si="7"/>
        <v>-1193728.76</v>
      </c>
    </row>
    <row r="101" spans="1:21" x14ac:dyDescent="0.2">
      <c r="A101" s="5"/>
      <c r="B101" s="5">
        <v>523</v>
      </c>
      <c r="C101" s="5"/>
      <c r="H101" s="243">
        <v>44154</v>
      </c>
      <c r="I101" s="4">
        <v>1926744.64</v>
      </c>
      <c r="J101" s="4">
        <f t="shared" si="6"/>
        <v>-3350.6399999998976</v>
      </c>
      <c r="K101" s="3">
        <f t="shared" si="7"/>
        <v>-1197079.3999999999</v>
      </c>
    </row>
    <row r="102" spans="1:21" x14ac:dyDescent="0.2">
      <c r="A102" s="5"/>
      <c r="B102" s="5">
        <v>461.45</v>
      </c>
      <c r="C102" s="5"/>
      <c r="H102" s="243">
        <v>44155</v>
      </c>
      <c r="I102" s="4">
        <v>1997896.24</v>
      </c>
      <c r="J102" s="4">
        <f t="shared" si="6"/>
        <v>-71151.600000000093</v>
      </c>
      <c r="K102" s="3">
        <f t="shared" si="7"/>
        <v>-1268231</v>
      </c>
      <c r="U102" s="2">
        <v>107555.49</v>
      </c>
    </row>
    <row r="103" spans="1:21" x14ac:dyDescent="0.2">
      <c r="A103" s="5"/>
      <c r="B103" s="5"/>
      <c r="C103" s="5"/>
      <c r="H103" s="243">
        <v>44158</v>
      </c>
      <c r="I103" s="4">
        <v>2041135.01</v>
      </c>
      <c r="J103" s="4">
        <f t="shared" si="6"/>
        <v>-43238.770000000019</v>
      </c>
      <c r="K103" s="3">
        <f t="shared" si="7"/>
        <v>-1311469.77</v>
      </c>
      <c r="U103" s="2">
        <v>62000</v>
      </c>
    </row>
    <row r="104" spans="1:21" x14ac:dyDescent="0.2">
      <c r="A104" s="5"/>
      <c r="B104" s="5"/>
      <c r="C104" s="5"/>
      <c r="H104" s="243">
        <v>44160</v>
      </c>
      <c r="I104" s="4">
        <v>2080044.41</v>
      </c>
      <c r="J104" s="4">
        <f t="shared" si="6"/>
        <v>-38909.399999999907</v>
      </c>
      <c r="K104" s="3">
        <f t="shared" si="7"/>
        <v>-1350379.17</v>
      </c>
      <c r="U104" s="2">
        <f>U102-U103</f>
        <v>45555.490000000005</v>
      </c>
    </row>
    <row r="105" spans="1:21" x14ac:dyDescent="0.2">
      <c r="A105" s="5"/>
      <c r="B105" s="5"/>
      <c r="C105" s="4"/>
      <c r="H105" s="243">
        <v>44161</v>
      </c>
      <c r="I105" s="4">
        <v>2111059.23</v>
      </c>
      <c r="J105" s="4">
        <f t="shared" si="6"/>
        <v>-31014.820000000065</v>
      </c>
      <c r="K105" s="3">
        <f t="shared" si="7"/>
        <v>-1381393.99</v>
      </c>
      <c r="U105" s="2">
        <f>U104*100/U103</f>
        <v>73.476596774193567</v>
      </c>
    </row>
    <row r="106" spans="1:21" x14ac:dyDescent="0.2">
      <c r="A106" s="5"/>
      <c r="B106" s="5"/>
      <c r="C106" s="5"/>
      <c r="H106" s="243">
        <v>44162</v>
      </c>
      <c r="I106" s="4">
        <v>2051951.07</v>
      </c>
      <c r="J106" s="4">
        <f t="shared" ref="J106:J119" si="8">I105-I106</f>
        <v>59108.159999999916</v>
      </c>
      <c r="K106" s="3">
        <f t="shared" ref="K106:K119" si="9">$I$3-I106</f>
        <v>-1322285.83</v>
      </c>
    </row>
    <row r="107" spans="1:21" x14ac:dyDescent="0.2">
      <c r="A107" s="5"/>
      <c r="B107" s="5"/>
      <c r="C107" s="5"/>
      <c r="H107" s="243">
        <v>44165</v>
      </c>
      <c r="I107" s="4">
        <v>2053821.07</v>
      </c>
      <c r="J107" s="4">
        <f t="shared" si="8"/>
        <v>-1870</v>
      </c>
      <c r="K107" s="3">
        <f t="shared" si="9"/>
        <v>-1324155.83</v>
      </c>
    </row>
    <row r="108" spans="1:21" x14ac:dyDescent="0.2">
      <c r="A108" s="5"/>
      <c r="B108" s="5"/>
      <c r="C108" s="5"/>
      <c r="H108" s="243">
        <v>44172</v>
      </c>
      <c r="I108" s="4">
        <v>2010116.09</v>
      </c>
      <c r="J108" s="4">
        <f t="shared" si="8"/>
        <v>43704.979999999981</v>
      </c>
      <c r="K108" s="3">
        <f t="shared" si="9"/>
        <v>-1280450.8500000001</v>
      </c>
    </row>
    <row r="109" spans="1:21" x14ac:dyDescent="0.2">
      <c r="A109" s="5"/>
      <c r="B109" s="5"/>
      <c r="C109" s="5"/>
      <c r="H109" s="243">
        <v>44173</v>
      </c>
      <c r="I109" s="4">
        <v>2034559.59</v>
      </c>
      <c r="J109" s="4">
        <f t="shared" si="8"/>
        <v>-24443.5</v>
      </c>
      <c r="K109" s="3">
        <f t="shared" si="9"/>
        <v>-1304894.3500000001</v>
      </c>
    </row>
    <row r="110" spans="1:21" x14ac:dyDescent="0.2">
      <c r="A110" s="5"/>
      <c r="B110" s="5"/>
      <c r="C110" s="5"/>
      <c r="H110" s="243">
        <v>44176</v>
      </c>
      <c r="I110" s="4">
        <v>2068463.61</v>
      </c>
      <c r="J110" s="4">
        <f t="shared" si="8"/>
        <v>-33904.020000000019</v>
      </c>
      <c r="K110" s="3">
        <f t="shared" si="9"/>
        <v>-1338798.3700000001</v>
      </c>
    </row>
    <row r="111" spans="1:21" x14ac:dyDescent="0.2">
      <c r="H111" s="243">
        <v>44180</v>
      </c>
      <c r="I111" s="4">
        <v>2085765</v>
      </c>
      <c r="J111" s="4">
        <f t="shared" si="8"/>
        <v>-17301.389999999898</v>
      </c>
      <c r="K111" s="3">
        <f t="shared" si="9"/>
        <v>-1356099.76</v>
      </c>
    </row>
    <row r="112" spans="1:21" x14ac:dyDescent="0.2">
      <c r="H112" s="243">
        <v>44182</v>
      </c>
      <c r="I112" s="4">
        <v>2094702.36</v>
      </c>
      <c r="J112" s="4">
        <f t="shared" si="8"/>
        <v>-8937.3600000001024</v>
      </c>
      <c r="K112" s="3">
        <f t="shared" si="9"/>
        <v>-1365037.12</v>
      </c>
    </row>
    <row r="113" spans="8:15" x14ac:dyDescent="0.2">
      <c r="H113" s="243">
        <v>44183</v>
      </c>
      <c r="I113" s="4">
        <v>2135005.27</v>
      </c>
      <c r="J113" s="4">
        <f t="shared" si="8"/>
        <v>-40302.909999999916</v>
      </c>
      <c r="K113" s="3">
        <f t="shared" si="9"/>
        <v>-1405340.03</v>
      </c>
    </row>
    <row r="114" spans="8:15" x14ac:dyDescent="0.2">
      <c r="H114" s="243">
        <v>44194</v>
      </c>
      <c r="I114" s="4">
        <v>2132207.5</v>
      </c>
      <c r="J114" s="4">
        <f t="shared" si="8"/>
        <v>2797.7700000000186</v>
      </c>
      <c r="K114" s="3">
        <f t="shared" si="9"/>
        <v>-1402542.26</v>
      </c>
    </row>
    <row r="115" spans="8:15" x14ac:dyDescent="0.2">
      <c r="H115" s="243">
        <v>44195</v>
      </c>
      <c r="I115" s="4">
        <v>2157592.1800000002</v>
      </c>
      <c r="J115" s="4">
        <f t="shared" si="8"/>
        <v>-25384.680000000168</v>
      </c>
      <c r="K115" s="3">
        <f t="shared" si="9"/>
        <v>-1427926.9400000002</v>
      </c>
    </row>
    <row r="116" spans="8:15" x14ac:dyDescent="0.2">
      <c r="H116" s="243">
        <v>44197</v>
      </c>
      <c r="I116" s="4">
        <v>2146580.42</v>
      </c>
      <c r="J116" s="4">
        <f t="shared" si="8"/>
        <v>11011.760000000242</v>
      </c>
      <c r="K116" s="3">
        <f t="shared" si="9"/>
        <v>-1416915.18</v>
      </c>
    </row>
    <row r="117" spans="8:15" x14ac:dyDescent="0.2">
      <c r="H117" s="243">
        <v>44201</v>
      </c>
      <c r="I117" s="4">
        <v>2149269.31</v>
      </c>
      <c r="J117" s="4">
        <f t="shared" si="8"/>
        <v>-2688.8900000001304</v>
      </c>
      <c r="K117" s="3">
        <f t="shared" si="9"/>
        <v>-1419604.07</v>
      </c>
    </row>
    <row r="118" spans="8:15" x14ac:dyDescent="0.2">
      <c r="H118" s="243">
        <v>44202</v>
      </c>
      <c r="I118" s="4">
        <v>2183546.7400000002</v>
      </c>
      <c r="J118" s="4">
        <f t="shared" si="8"/>
        <v>-34277.430000000168</v>
      </c>
      <c r="K118" s="3">
        <f t="shared" si="9"/>
        <v>-1453881.5000000002</v>
      </c>
    </row>
    <row r="119" spans="8:15" x14ac:dyDescent="0.2">
      <c r="H119" s="243">
        <v>44203</v>
      </c>
      <c r="I119" s="4">
        <v>2262342.31</v>
      </c>
      <c r="J119" s="4">
        <f t="shared" si="8"/>
        <v>-78795.569999999832</v>
      </c>
      <c r="K119" s="3">
        <f t="shared" si="9"/>
        <v>-1532677.07</v>
      </c>
    </row>
    <row r="120" spans="8:15" x14ac:dyDescent="0.2">
      <c r="H120" s="389">
        <v>44204</v>
      </c>
      <c r="I120" s="237">
        <v>2166936.59</v>
      </c>
      <c r="J120" s="237">
        <f t="shared" ref="J120:J121" si="10">I119-I120</f>
        <v>95405.720000000205</v>
      </c>
      <c r="K120" s="3">
        <f t="shared" ref="K120:K121" si="11">$I$3-I120</f>
        <v>-1437271.3499999999</v>
      </c>
      <c r="N120" s="5" t="s">
        <v>235</v>
      </c>
      <c r="O120" s="5" t="s">
        <v>303</v>
      </c>
    </row>
    <row r="121" spans="8:15" x14ac:dyDescent="0.2">
      <c r="H121" s="243">
        <v>44211</v>
      </c>
      <c r="I121" s="4">
        <v>2268510.42</v>
      </c>
      <c r="J121" s="4">
        <f t="shared" si="10"/>
        <v>-101573.83000000007</v>
      </c>
      <c r="K121" s="4">
        <f t="shared" si="11"/>
        <v>-1538845.18</v>
      </c>
      <c r="N121" s="163">
        <v>95.28</v>
      </c>
      <c r="O121" s="163">
        <v>19815.3</v>
      </c>
    </row>
    <row r="122" spans="8:15" x14ac:dyDescent="0.2">
      <c r="H122" s="243">
        <v>44216</v>
      </c>
      <c r="I122" s="4">
        <v>2300506.2000000002</v>
      </c>
      <c r="J122" s="4">
        <f t="shared" ref="J122:J136" si="12">I121-I122</f>
        <v>-31995.780000000261</v>
      </c>
      <c r="K122" s="4">
        <f t="shared" ref="K122:K136" si="13">$I$3-I122</f>
        <v>-1570840.9600000002</v>
      </c>
      <c r="N122" s="163"/>
      <c r="O122" s="163">
        <v>1354566.8</v>
      </c>
    </row>
    <row r="123" spans="8:15" x14ac:dyDescent="0.2">
      <c r="H123" s="243">
        <v>44217</v>
      </c>
      <c r="I123" s="4">
        <v>2309907.08</v>
      </c>
      <c r="J123" s="4">
        <f t="shared" si="12"/>
        <v>-9400.8799999998882</v>
      </c>
      <c r="K123" s="4">
        <f t="shared" si="13"/>
        <v>-1580241.84</v>
      </c>
      <c r="N123" s="5"/>
      <c r="O123" s="163">
        <f>500*126</f>
        <v>63000</v>
      </c>
    </row>
    <row r="124" spans="8:15" x14ac:dyDescent="0.2">
      <c r="H124" s="243">
        <v>44218</v>
      </c>
      <c r="I124" s="4">
        <v>2322704.12</v>
      </c>
      <c r="J124" s="4">
        <f t="shared" si="12"/>
        <v>-12797.040000000037</v>
      </c>
      <c r="K124" s="4">
        <f t="shared" si="13"/>
        <v>-1593038.8800000001</v>
      </c>
      <c r="N124" s="5"/>
      <c r="O124" s="5">
        <f>20*212</f>
        <v>4240</v>
      </c>
    </row>
    <row r="125" spans="8:15" x14ac:dyDescent="0.2">
      <c r="H125" s="243">
        <v>44219</v>
      </c>
      <c r="I125" s="4">
        <v>2323379.02</v>
      </c>
      <c r="J125" s="4">
        <f t="shared" si="12"/>
        <v>-674.89999999990687</v>
      </c>
      <c r="K125" s="4">
        <f t="shared" si="13"/>
        <v>-1593713.78</v>
      </c>
      <c r="N125" s="5"/>
      <c r="O125" s="5">
        <f>7000*9.8</f>
        <v>68600</v>
      </c>
    </row>
    <row r="126" spans="8:15" x14ac:dyDescent="0.2">
      <c r="H126" s="243">
        <v>44223</v>
      </c>
      <c r="I126" s="4">
        <v>2436355.4500000002</v>
      </c>
      <c r="J126" s="4">
        <f t="shared" si="12"/>
        <v>-112976.43000000017</v>
      </c>
      <c r="K126" s="4">
        <f t="shared" si="13"/>
        <v>-1706690.2100000002</v>
      </c>
      <c r="N126" s="5"/>
      <c r="O126" s="163"/>
    </row>
    <row r="127" spans="8:15" x14ac:dyDescent="0.2">
      <c r="H127" s="243">
        <v>44230</v>
      </c>
      <c r="I127" s="4">
        <v>2454119.2999999998</v>
      </c>
      <c r="J127" s="4">
        <f t="shared" si="12"/>
        <v>-17763.849999999627</v>
      </c>
      <c r="K127" s="4">
        <f t="shared" si="13"/>
        <v>-1724454.0599999998</v>
      </c>
      <c r="N127" s="5"/>
      <c r="O127" s="5"/>
    </row>
    <row r="128" spans="8:15" x14ac:dyDescent="0.2">
      <c r="H128" s="243">
        <v>44231</v>
      </c>
      <c r="I128" s="4">
        <v>2453985.34</v>
      </c>
      <c r="J128" s="4">
        <f t="shared" si="12"/>
        <v>133.95999999996275</v>
      </c>
      <c r="K128" s="4">
        <f t="shared" si="13"/>
        <v>-1724320.0999999999</v>
      </c>
      <c r="N128" s="5"/>
      <c r="O128" s="5"/>
    </row>
    <row r="129" spans="8:19" x14ac:dyDescent="0.2">
      <c r="H129" s="243">
        <v>44232</v>
      </c>
      <c r="I129" s="4">
        <v>2469667.2000000002</v>
      </c>
      <c r="J129" s="4">
        <f t="shared" si="12"/>
        <v>-15681.860000000335</v>
      </c>
      <c r="K129" s="4">
        <f t="shared" si="13"/>
        <v>-1740001.9600000002</v>
      </c>
      <c r="N129" s="5">
        <f>SUM(N121:N128)</f>
        <v>95.28</v>
      </c>
      <c r="O129" s="5">
        <f>SUM(O121:O128)</f>
        <v>1510222.1</v>
      </c>
    </row>
    <row r="130" spans="8:19" x14ac:dyDescent="0.2">
      <c r="H130" s="243">
        <v>44235</v>
      </c>
      <c r="I130" s="4">
        <v>2516034.1</v>
      </c>
      <c r="J130" s="4">
        <f t="shared" si="12"/>
        <v>-46366.899999999907</v>
      </c>
      <c r="K130" s="4">
        <f t="shared" si="13"/>
        <v>-1786368.86</v>
      </c>
    </row>
    <row r="131" spans="8:19" x14ac:dyDescent="0.2">
      <c r="H131" s="243">
        <v>44240</v>
      </c>
      <c r="I131" s="4">
        <v>2553539.73</v>
      </c>
      <c r="J131" s="4">
        <f t="shared" si="12"/>
        <v>-37505.629999999888</v>
      </c>
      <c r="K131" s="4">
        <f t="shared" si="13"/>
        <v>-1823874.49</v>
      </c>
    </row>
    <row r="132" spans="8:19" x14ac:dyDescent="0.2">
      <c r="H132" s="243">
        <v>44304</v>
      </c>
      <c r="I132" s="4">
        <v>2723035.63</v>
      </c>
      <c r="J132" s="4">
        <f t="shared" si="12"/>
        <v>-169495.89999999991</v>
      </c>
      <c r="K132" s="4">
        <f t="shared" si="13"/>
        <v>-1993370.39</v>
      </c>
    </row>
    <row r="133" spans="8:19" x14ac:dyDescent="0.2">
      <c r="H133" s="243"/>
      <c r="I133" s="4"/>
      <c r="J133" s="4">
        <f t="shared" si="12"/>
        <v>2723035.63</v>
      </c>
      <c r="K133" s="4">
        <f t="shared" si="13"/>
        <v>729665.24</v>
      </c>
    </row>
    <row r="134" spans="8:19" x14ac:dyDescent="0.2">
      <c r="H134" s="243"/>
      <c r="I134" s="4"/>
      <c r="J134" s="4">
        <f t="shared" si="12"/>
        <v>0</v>
      </c>
      <c r="K134" s="4">
        <f t="shared" si="13"/>
        <v>729665.24</v>
      </c>
    </row>
    <row r="135" spans="8:19" x14ac:dyDescent="0.2">
      <c r="H135" s="243"/>
      <c r="I135" s="4"/>
      <c r="J135" s="4">
        <f t="shared" si="12"/>
        <v>0</v>
      </c>
      <c r="K135" s="4">
        <f t="shared" si="13"/>
        <v>729665.24</v>
      </c>
    </row>
    <row r="136" spans="8:19" x14ac:dyDescent="0.2">
      <c r="H136" s="243"/>
      <c r="I136" s="4"/>
      <c r="J136" s="4">
        <f t="shared" si="12"/>
        <v>0</v>
      </c>
      <c r="K136" s="4">
        <f t="shared" si="13"/>
        <v>729665.24</v>
      </c>
    </row>
    <row r="143" spans="8:19" x14ac:dyDescent="0.2">
      <c r="R143" s="372"/>
      <c r="S143" s="124"/>
    </row>
  </sheetData>
  <mergeCells count="4">
    <mergeCell ref="C11:D11"/>
    <mergeCell ref="C40:D40"/>
    <mergeCell ref="T2:U2"/>
    <mergeCell ref="C8:D8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8D1E-13A3-4D55-80C5-C15ED3E0C9D4}">
  <dimension ref="A1:Q15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59" sqref="N59"/>
    </sheetView>
  </sheetViews>
  <sheetFormatPr defaultRowHeight="15" x14ac:dyDescent="0.25"/>
  <cols>
    <col min="1" max="1" width="7" bestFit="1" customWidth="1"/>
    <col min="2" max="3" width="5.140625" bestFit="1" customWidth="1"/>
    <col min="4" max="4" width="10.7109375" bestFit="1" customWidth="1"/>
    <col min="7" max="7" width="4.140625" bestFit="1" customWidth="1"/>
    <col min="8" max="8" width="9.28515625" bestFit="1" customWidth="1"/>
    <col min="9" max="9" width="6.140625" bestFit="1" customWidth="1"/>
    <col min="10" max="10" width="9.28515625" bestFit="1" customWidth="1"/>
    <col min="11" max="11" width="9.7109375" bestFit="1" customWidth="1"/>
    <col min="12" max="12" width="6.140625" bestFit="1" customWidth="1"/>
    <col min="13" max="13" width="4.140625" bestFit="1" customWidth="1"/>
    <col min="14" max="14" width="6.7109375" bestFit="1" customWidth="1"/>
  </cols>
  <sheetData>
    <row r="1" spans="1:3" x14ac:dyDescent="0.25">
      <c r="A1" s="675" t="s">
        <v>901</v>
      </c>
      <c r="B1" s="675"/>
      <c r="C1" s="73">
        <f>SUM(B2:B150)</f>
        <v>7694</v>
      </c>
    </row>
    <row r="2" spans="1:3" x14ac:dyDescent="0.25">
      <c r="A2" s="292">
        <v>43500</v>
      </c>
      <c r="B2" s="12">
        <v>155</v>
      </c>
      <c r="C2" s="54"/>
    </row>
    <row r="3" spans="1:3" x14ac:dyDescent="0.25">
      <c r="A3" s="58">
        <v>43501</v>
      </c>
      <c r="B3" s="12">
        <v>10</v>
      </c>
      <c r="C3" s="54"/>
    </row>
    <row r="4" spans="1:3" x14ac:dyDescent="0.25">
      <c r="A4" s="58">
        <v>43502</v>
      </c>
      <c r="B4" s="12">
        <v>7</v>
      </c>
      <c r="C4" s="54"/>
    </row>
    <row r="5" spans="1:3" x14ac:dyDescent="0.25">
      <c r="A5" s="292">
        <v>43507</v>
      </c>
      <c r="B5" s="12">
        <v>23</v>
      </c>
      <c r="C5" s="54"/>
    </row>
    <row r="6" spans="1:3" x14ac:dyDescent="0.25">
      <c r="A6" s="292">
        <v>43523</v>
      </c>
      <c r="B6" s="12">
        <v>134</v>
      </c>
      <c r="C6" s="54"/>
    </row>
    <row r="7" spans="1:3" x14ac:dyDescent="0.25">
      <c r="A7" s="292">
        <v>43524</v>
      </c>
      <c r="B7" s="12">
        <v>96</v>
      </c>
      <c r="C7" s="54"/>
    </row>
    <row r="8" spans="1:3" x14ac:dyDescent="0.25">
      <c r="A8" s="292">
        <v>43525</v>
      </c>
      <c r="B8" s="12">
        <v>249</v>
      </c>
      <c r="C8" s="54"/>
    </row>
    <row r="9" spans="1:3" x14ac:dyDescent="0.25">
      <c r="A9" s="292">
        <v>43529</v>
      </c>
      <c r="B9" s="12">
        <v>184</v>
      </c>
      <c r="C9" s="54"/>
    </row>
    <row r="10" spans="1:3" x14ac:dyDescent="0.25">
      <c r="A10" s="58">
        <v>43530</v>
      </c>
      <c r="B10" s="12">
        <v>53</v>
      </c>
      <c r="C10" s="54"/>
    </row>
    <row r="11" spans="1:3" x14ac:dyDescent="0.25">
      <c r="A11" s="58">
        <v>43531</v>
      </c>
      <c r="B11" s="12">
        <v>335</v>
      </c>
      <c r="C11" s="54"/>
    </row>
    <row r="12" spans="1:3" x14ac:dyDescent="0.25">
      <c r="A12" s="58">
        <v>43532</v>
      </c>
      <c r="B12" s="12">
        <v>97</v>
      </c>
      <c r="C12" s="54"/>
    </row>
    <row r="13" spans="1:3" x14ac:dyDescent="0.25">
      <c r="A13" s="58">
        <v>43536</v>
      </c>
      <c r="B13" s="12">
        <v>64</v>
      </c>
      <c r="C13" s="54"/>
    </row>
    <row r="14" spans="1:3" x14ac:dyDescent="0.25">
      <c r="A14" s="58">
        <v>43537</v>
      </c>
      <c r="B14" s="12">
        <v>75</v>
      </c>
      <c r="C14" s="54"/>
    </row>
    <row r="15" spans="1:3" x14ac:dyDescent="0.25">
      <c r="A15" s="58">
        <v>43549</v>
      </c>
      <c r="B15" s="12">
        <v>13</v>
      </c>
      <c r="C15" s="54"/>
    </row>
    <row r="16" spans="1:3" x14ac:dyDescent="0.25">
      <c r="A16" s="58">
        <v>43551</v>
      </c>
      <c r="B16" s="12">
        <v>42</v>
      </c>
      <c r="C16" s="54"/>
    </row>
    <row r="17" spans="1:17" x14ac:dyDescent="0.25">
      <c r="A17" s="58">
        <v>43553</v>
      </c>
      <c r="B17" s="12">
        <v>247</v>
      </c>
      <c r="C17" s="54"/>
    </row>
    <row r="18" spans="1:17" x14ac:dyDescent="0.25">
      <c r="A18" s="58">
        <v>43557</v>
      </c>
      <c r="B18" s="12">
        <v>1371</v>
      </c>
      <c r="C18" s="54"/>
    </row>
    <row r="19" spans="1:17" x14ac:dyDescent="0.25">
      <c r="A19" s="58">
        <v>43558</v>
      </c>
      <c r="B19" s="12">
        <v>15</v>
      </c>
      <c r="C19" s="54"/>
    </row>
    <row r="20" spans="1:17" x14ac:dyDescent="0.25">
      <c r="A20" s="58">
        <v>43559</v>
      </c>
      <c r="B20" s="12">
        <v>54</v>
      </c>
      <c r="C20" s="54"/>
    </row>
    <row r="21" spans="1:17" x14ac:dyDescent="0.25">
      <c r="A21" s="58">
        <v>43560</v>
      </c>
      <c r="B21" s="12">
        <v>320</v>
      </c>
      <c r="C21" s="54"/>
      <c r="Q21">
        <v>7</v>
      </c>
    </row>
    <row r="22" spans="1:17" x14ac:dyDescent="0.25">
      <c r="A22" s="292">
        <v>43564</v>
      </c>
      <c r="B22" s="12">
        <v>165</v>
      </c>
      <c r="C22" s="54"/>
      <c r="Q22">
        <v>10</v>
      </c>
    </row>
    <row r="23" spans="1:17" x14ac:dyDescent="0.25">
      <c r="A23" s="292">
        <v>43580</v>
      </c>
      <c r="B23" s="12">
        <v>35</v>
      </c>
      <c r="C23" s="54"/>
      <c r="Q23">
        <v>7</v>
      </c>
    </row>
    <row r="24" spans="1:17" x14ac:dyDescent="0.25">
      <c r="A24" s="292">
        <v>43581</v>
      </c>
      <c r="B24" s="12">
        <v>236</v>
      </c>
      <c r="C24" s="54"/>
      <c r="Q24">
        <v>11</v>
      </c>
    </row>
    <row r="25" spans="1:17" x14ac:dyDescent="0.25">
      <c r="A25" s="292">
        <v>43585</v>
      </c>
      <c r="B25" s="12">
        <v>459</v>
      </c>
      <c r="C25" s="54"/>
      <c r="Q25">
        <v>8</v>
      </c>
    </row>
    <row r="26" spans="1:17" x14ac:dyDescent="0.25">
      <c r="A26" s="292">
        <v>43587</v>
      </c>
      <c r="B26" s="12">
        <v>84</v>
      </c>
      <c r="C26" s="54"/>
      <c r="Q26">
        <v>5</v>
      </c>
    </row>
    <row r="27" spans="1:17" x14ac:dyDescent="0.25">
      <c r="A27" s="292">
        <v>43588</v>
      </c>
      <c r="B27" s="12">
        <v>104</v>
      </c>
      <c r="C27" s="54"/>
      <c r="Q27">
        <v>11</v>
      </c>
    </row>
    <row r="28" spans="1:17" x14ac:dyDescent="0.25">
      <c r="A28" s="292">
        <v>43590</v>
      </c>
      <c r="B28" s="12">
        <v>50</v>
      </c>
      <c r="C28" s="54"/>
      <c r="Q28">
        <v>11</v>
      </c>
    </row>
    <row r="29" spans="1:17" x14ac:dyDescent="0.25">
      <c r="A29" s="292">
        <v>43591</v>
      </c>
      <c r="B29" s="12">
        <v>196</v>
      </c>
      <c r="C29" s="54"/>
    </row>
    <row r="30" spans="1:17" x14ac:dyDescent="0.25">
      <c r="A30" s="292">
        <v>43596</v>
      </c>
      <c r="B30" s="12">
        <v>79</v>
      </c>
      <c r="C30" s="54"/>
    </row>
    <row r="31" spans="1:17" x14ac:dyDescent="0.25">
      <c r="A31" s="292">
        <v>43612</v>
      </c>
      <c r="B31" s="12">
        <v>166</v>
      </c>
      <c r="C31" s="54"/>
    </row>
    <row r="32" spans="1:17" x14ac:dyDescent="0.25">
      <c r="A32" s="292"/>
      <c r="B32" s="12"/>
      <c r="C32" s="54"/>
    </row>
    <row r="33" spans="1:8" x14ac:dyDescent="0.25">
      <c r="A33" s="292">
        <v>43618</v>
      </c>
      <c r="B33" s="12">
        <v>58</v>
      </c>
      <c r="C33" s="54"/>
    </row>
    <row r="34" spans="1:8" x14ac:dyDescent="0.25">
      <c r="A34" s="292">
        <v>43620</v>
      </c>
      <c r="B34" s="12">
        <v>64</v>
      </c>
      <c r="C34" s="54"/>
    </row>
    <row r="35" spans="1:8" x14ac:dyDescent="0.25">
      <c r="A35" s="292">
        <v>43621</v>
      </c>
      <c r="B35" s="12">
        <v>123</v>
      </c>
      <c r="C35" s="54"/>
    </row>
    <row r="36" spans="1:8" x14ac:dyDescent="0.25">
      <c r="A36" s="292">
        <v>43625</v>
      </c>
      <c r="B36" s="12">
        <v>31</v>
      </c>
      <c r="C36" s="54"/>
    </row>
    <row r="37" spans="1:8" x14ac:dyDescent="0.25">
      <c r="A37" s="292">
        <v>43626</v>
      </c>
      <c r="B37" s="12">
        <v>30</v>
      </c>
      <c r="C37" s="54"/>
    </row>
    <row r="38" spans="1:8" x14ac:dyDescent="0.25">
      <c r="A38" s="292">
        <v>43627</v>
      </c>
      <c r="B38" s="12">
        <v>314</v>
      </c>
      <c r="C38" s="54"/>
    </row>
    <row r="39" spans="1:8" x14ac:dyDescent="0.25">
      <c r="A39" s="292">
        <v>43642</v>
      </c>
      <c r="B39" s="12">
        <v>11</v>
      </c>
      <c r="C39" s="54"/>
    </row>
    <row r="40" spans="1:8" x14ac:dyDescent="0.25">
      <c r="A40" s="292">
        <v>43643</v>
      </c>
      <c r="B40" s="12">
        <v>259</v>
      </c>
      <c r="C40" s="54"/>
    </row>
    <row r="41" spans="1:8" x14ac:dyDescent="0.25">
      <c r="A41" s="292">
        <v>43675</v>
      </c>
      <c r="B41" s="12">
        <v>26</v>
      </c>
      <c r="C41" s="54"/>
    </row>
    <row r="42" spans="1:8" x14ac:dyDescent="0.25">
      <c r="A42" s="292">
        <v>43661</v>
      </c>
      <c r="B42" s="12">
        <v>14</v>
      </c>
      <c r="C42" s="54"/>
    </row>
    <row r="43" spans="1:8" x14ac:dyDescent="0.25">
      <c r="A43" s="292">
        <v>43655</v>
      </c>
      <c r="B43" s="12">
        <v>48</v>
      </c>
      <c r="C43" s="54"/>
    </row>
    <row r="44" spans="1:8" x14ac:dyDescent="0.25">
      <c r="A44" s="58">
        <v>43684</v>
      </c>
      <c r="B44" s="12">
        <v>62</v>
      </c>
      <c r="C44" s="54"/>
    </row>
    <row r="45" spans="1:8" x14ac:dyDescent="0.25">
      <c r="A45" s="58">
        <v>43686</v>
      </c>
      <c r="B45" s="12">
        <v>39</v>
      </c>
      <c r="C45" s="54"/>
    </row>
    <row r="46" spans="1:8" x14ac:dyDescent="0.25">
      <c r="A46" s="292">
        <v>43697</v>
      </c>
      <c r="B46" s="12">
        <v>94</v>
      </c>
      <c r="C46" s="54"/>
    </row>
    <row r="47" spans="1:8" x14ac:dyDescent="0.25">
      <c r="A47" s="292">
        <v>43700</v>
      </c>
      <c r="B47" s="12">
        <v>94</v>
      </c>
      <c r="C47" s="54"/>
      <c r="H47" s="165"/>
    </row>
    <row r="48" spans="1:8" x14ac:dyDescent="0.25">
      <c r="A48" s="58">
        <v>43706</v>
      </c>
      <c r="B48" s="12">
        <v>164</v>
      </c>
      <c r="C48" s="54"/>
      <c r="H48" s="165"/>
    </row>
    <row r="49" spans="1:8" x14ac:dyDescent="0.25">
      <c r="A49" s="58">
        <v>43708</v>
      </c>
      <c r="B49" s="12">
        <v>14</v>
      </c>
      <c r="C49" s="54"/>
      <c r="H49" s="165"/>
    </row>
    <row r="50" spans="1:8" x14ac:dyDescent="0.25">
      <c r="A50" s="58">
        <v>43711</v>
      </c>
      <c r="B50" s="12">
        <v>11</v>
      </c>
      <c r="C50" s="54"/>
      <c r="H50" s="165"/>
    </row>
    <row r="51" spans="1:8" x14ac:dyDescent="0.25">
      <c r="A51" s="58">
        <v>43716</v>
      </c>
      <c r="B51" s="12">
        <v>15</v>
      </c>
      <c r="C51" s="54"/>
      <c r="H51" s="165"/>
    </row>
    <row r="52" spans="1:8" x14ac:dyDescent="0.25">
      <c r="A52" s="58">
        <v>43717</v>
      </c>
      <c r="B52" s="12">
        <v>454</v>
      </c>
      <c r="C52" s="54"/>
      <c r="H52" s="165"/>
    </row>
    <row r="53" spans="1:8" x14ac:dyDescent="0.25">
      <c r="A53" s="58">
        <v>43721</v>
      </c>
      <c r="B53" s="12">
        <v>95</v>
      </c>
      <c r="C53" s="54"/>
      <c r="H53" s="165"/>
    </row>
    <row r="54" spans="1:8" x14ac:dyDescent="0.25">
      <c r="A54" s="58">
        <v>43722</v>
      </c>
      <c r="B54" s="12">
        <v>286</v>
      </c>
      <c r="C54" s="54"/>
      <c r="H54" s="165"/>
    </row>
    <row r="55" spans="1:8" x14ac:dyDescent="0.25">
      <c r="A55" s="58"/>
      <c r="B55" s="12"/>
      <c r="C55" s="54"/>
    </row>
    <row r="56" spans="1:8" x14ac:dyDescent="0.25">
      <c r="A56" s="12"/>
      <c r="B56" s="12"/>
      <c r="C56" s="54"/>
    </row>
    <row r="57" spans="1:8" x14ac:dyDescent="0.25">
      <c r="A57" s="12"/>
      <c r="B57" s="12"/>
      <c r="C57" s="54"/>
    </row>
    <row r="58" spans="1:8" x14ac:dyDescent="0.25">
      <c r="A58" s="58">
        <v>43764</v>
      </c>
      <c r="B58" s="12">
        <v>16</v>
      </c>
      <c r="C58" s="54"/>
    </row>
    <row r="59" spans="1:8" x14ac:dyDescent="0.25">
      <c r="A59" s="12"/>
      <c r="B59" s="12"/>
      <c r="C59" s="54"/>
    </row>
    <row r="60" spans="1:8" x14ac:dyDescent="0.25">
      <c r="A60" s="58">
        <v>43780</v>
      </c>
      <c r="B60" s="12">
        <v>13</v>
      </c>
      <c r="C60" s="54"/>
    </row>
    <row r="61" spans="1:8" x14ac:dyDescent="0.25">
      <c r="A61" s="12"/>
      <c r="B61" s="12"/>
      <c r="C61" s="54"/>
    </row>
    <row r="62" spans="1:8" x14ac:dyDescent="0.25">
      <c r="A62" s="58">
        <v>43826</v>
      </c>
      <c r="B62" s="12">
        <v>67</v>
      </c>
      <c r="C62" s="54"/>
    </row>
    <row r="63" spans="1:8" x14ac:dyDescent="0.25">
      <c r="A63" s="58">
        <v>43826</v>
      </c>
      <c r="B63" s="12">
        <v>8</v>
      </c>
      <c r="C63" s="54"/>
    </row>
    <row r="64" spans="1:8" x14ac:dyDescent="0.25">
      <c r="A64" s="12"/>
      <c r="B64" s="12"/>
      <c r="C64" s="54"/>
    </row>
    <row r="65" spans="1:3" x14ac:dyDescent="0.25">
      <c r="A65" s="58">
        <v>43859</v>
      </c>
      <c r="B65" s="12">
        <v>24</v>
      </c>
      <c r="C65" s="54"/>
    </row>
    <row r="66" spans="1:3" x14ac:dyDescent="0.25">
      <c r="A66" s="58">
        <v>43889</v>
      </c>
      <c r="B66" s="12">
        <v>11</v>
      </c>
      <c r="C66" s="54"/>
    </row>
    <row r="67" spans="1:3" x14ac:dyDescent="0.25">
      <c r="A67" s="58">
        <v>43917</v>
      </c>
      <c r="B67" s="12">
        <v>61</v>
      </c>
      <c r="C67" s="54"/>
    </row>
    <row r="68" spans="1:3" x14ac:dyDescent="0.25">
      <c r="A68" s="58">
        <v>43950</v>
      </c>
      <c r="B68" s="12">
        <v>70</v>
      </c>
      <c r="C68" s="54"/>
    </row>
    <row r="69" spans="1:3" x14ac:dyDescent="0.25">
      <c r="A69" s="12"/>
      <c r="B69" s="12"/>
      <c r="C69" s="54"/>
    </row>
    <row r="70" spans="1:3" x14ac:dyDescent="0.25">
      <c r="A70" s="12"/>
      <c r="B70" s="12"/>
      <c r="C70" s="54"/>
    </row>
    <row r="71" spans="1:3" x14ac:dyDescent="0.25">
      <c r="A71" s="12"/>
      <c r="B71" s="12"/>
      <c r="C71" s="54"/>
    </row>
    <row r="72" spans="1:3" x14ac:dyDescent="0.25">
      <c r="A72" s="12"/>
      <c r="B72" s="12"/>
      <c r="C72" s="54"/>
    </row>
    <row r="73" spans="1:3" x14ac:dyDescent="0.25">
      <c r="A73" s="12"/>
      <c r="B73" s="12"/>
      <c r="C73" s="54"/>
    </row>
    <row r="74" spans="1:3" x14ac:dyDescent="0.25">
      <c r="A74" s="12"/>
      <c r="B74" s="12"/>
      <c r="C74" s="54"/>
    </row>
    <row r="75" spans="1:3" x14ac:dyDescent="0.25">
      <c r="A75" s="12"/>
      <c r="B75" s="12"/>
      <c r="C75" s="54"/>
    </row>
    <row r="76" spans="1:3" x14ac:dyDescent="0.25">
      <c r="A76" s="12"/>
      <c r="B76" s="12"/>
      <c r="C76" s="54"/>
    </row>
    <row r="77" spans="1:3" x14ac:dyDescent="0.25">
      <c r="A77" s="12"/>
      <c r="B77" s="12"/>
      <c r="C77" s="54"/>
    </row>
    <row r="78" spans="1:3" x14ac:dyDescent="0.25">
      <c r="A78" s="58"/>
      <c r="B78" s="12"/>
      <c r="C78" s="54"/>
    </row>
    <row r="79" spans="1:3" x14ac:dyDescent="0.25">
      <c r="A79" s="12"/>
      <c r="B79" s="12"/>
      <c r="C79" s="54"/>
    </row>
    <row r="80" spans="1:3" x14ac:dyDescent="0.25">
      <c r="A80" s="12"/>
      <c r="B80" s="12"/>
      <c r="C80" s="54"/>
    </row>
    <row r="81" spans="1:3" x14ac:dyDescent="0.25">
      <c r="A81" s="12"/>
      <c r="B81" s="12"/>
      <c r="C81" s="54"/>
    </row>
    <row r="82" spans="1:3" x14ac:dyDescent="0.25">
      <c r="A82" s="12"/>
      <c r="B82" s="12"/>
      <c r="C82" s="54"/>
    </row>
    <row r="83" spans="1:3" x14ac:dyDescent="0.25">
      <c r="A83" s="12"/>
      <c r="B83" s="12"/>
      <c r="C83" s="54"/>
    </row>
    <row r="84" spans="1:3" x14ac:dyDescent="0.25">
      <c r="A84" s="12"/>
      <c r="B84" s="12"/>
      <c r="C84" s="54"/>
    </row>
    <row r="85" spans="1:3" x14ac:dyDescent="0.25">
      <c r="A85" s="12"/>
      <c r="B85" s="12"/>
      <c r="C85" s="54"/>
    </row>
    <row r="86" spans="1:3" x14ac:dyDescent="0.25">
      <c r="A86" s="12"/>
      <c r="B86" s="12"/>
      <c r="C86" s="54"/>
    </row>
    <row r="87" spans="1:3" x14ac:dyDescent="0.25">
      <c r="A87" s="12"/>
      <c r="B87" s="12"/>
      <c r="C87" s="54"/>
    </row>
    <row r="88" spans="1:3" x14ac:dyDescent="0.25">
      <c r="A88" s="12"/>
      <c r="B88" s="12"/>
      <c r="C88" s="54"/>
    </row>
    <row r="89" spans="1:3" x14ac:dyDescent="0.25">
      <c r="A89" s="12"/>
      <c r="B89" s="12"/>
      <c r="C89" s="54"/>
    </row>
    <row r="90" spans="1:3" x14ac:dyDescent="0.25">
      <c r="A90" s="12"/>
      <c r="B90" s="12"/>
    </row>
    <row r="91" spans="1:3" x14ac:dyDescent="0.25">
      <c r="A91" s="12"/>
      <c r="B91" s="12"/>
    </row>
    <row r="92" spans="1:3" x14ac:dyDescent="0.25">
      <c r="A92" s="12"/>
      <c r="B92" s="12"/>
    </row>
    <row r="93" spans="1:3" x14ac:dyDescent="0.25">
      <c r="A93" s="12"/>
      <c r="B93" s="12"/>
    </row>
    <row r="94" spans="1:3" x14ac:dyDescent="0.25">
      <c r="A94" s="12"/>
      <c r="B94" s="12"/>
    </row>
    <row r="95" spans="1:3" x14ac:dyDescent="0.25">
      <c r="A95" s="12"/>
      <c r="B95" s="12"/>
    </row>
    <row r="96" spans="1:3" x14ac:dyDescent="0.25">
      <c r="A96" s="12"/>
      <c r="B96" s="12"/>
    </row>
    <row r="97" spans="1:2" x14ac:dyDescent="0.25">
      <c r="A97" s="12"/>
      <c r="B97" s="12"/>
    </row>
    <row r="98" spans="1:2" x14ac:dyDescent="0.25">
      <c r="A98" s="12"/>
      <c r="B98" s="12"/>
    </row>
    <row r="99" spans="1:2" x14ac:dyDescent="0.25">
      <c r="A99" s="12"/>
      <c r="B99" s="12"/>
    </row>
    <row r="100" spans="1:2" x14ac:dyDescent="0.25">
      <c r="A100" s="12"/>
      <c r="B100" s="12"/>
    </row>
    <row r="101" spans="1:2" x14ac:dyDescent="0.25">
      <c r="A101" s="12"/>
      <c r="B101" s="12"/>
    </row>
    <row r="102" spans="1:2" x14ac:dyDescent="0.25">
      <c r="A102" s="12"/>
      <c r="B102" s="12"/>
    </row>
    <row r="103" spans="1:2" x14ac:dyDescent="0.25">
      <c r="A103" s="58"/>
      <c r="B103" s="12"/>
    </row>
    <row r="104" spans="1:2" x14ac:dyDescent="0.25">
      <c r="A104" s="58"/>
      <c r="B104" s="12"/>
    </row>
    <row r="105" spans="1:2" x14ac:dyDescent="0.25">
      <c r="A105" s="58"/>
      <c r="B105" s="12"/>
    </row>
    <row r="106" spans="1:2" x14ac:dyDescent="0.25">
      <c r="A106" s="12"/>
      <c r="B106" s="12"/>
    </row>
    <row r="107" spans="1:2" x14ac:dyDescent="0.25">
      <c r="A107" s="12"/>
      <c r="B107" s="12"/>
    </row>
    <row r="108" spans="1:2" x14ac:dyDescent="0.25">
      <c r="A108" s="12"/>
      <c r="B108" s="12"/>
    </row>
    <row r="109" spans="1:2" x14ac:dyDescent="0.25">
      <c r="A109" s="12"/>
      <c r="B109" s="12"/>
    </row>
    <row r="110" spans="1:2" x14ac:dyDescent="0.25">
      <c r="A110" s="12"/>
      <c r="B110" s="12"/>
    </row>
    <row r="111" spans="1:2" x14ac:dyDescent="0.25">
      <c r="A111" s="12"/>
      <c r="B111" s="12"/>
    </row>
    <row r="112" spans="1:2" x14ac:dyDescent="0.25">
      <c r="A112" s="12"/>
      <c r="B112" s="12"/>
    </row>
    <row r="113" spans="1:2" x14ac:dyDescent="0.25">
      <c r="A113" s="12"/>
      <c r="B113" s="12"/>
    </row>
    <row r="114" spans="1:2" x14ac:dyDescent="0.25">
      <c r="A114" s="12"/>
      <c r="B114" s="12"/>
    </row>
    <row r="115" spans="1:2" x14ac:dyDescent="0.25">
      <c r="A115" s="12"/>
      <c r="B115" s="12"/>
    </row>
    <row r="116" spans="1:2" x14ac:dyDescent="0.25">
      <c r="A116" s="12"/>
      <c r="B116" s="12"/>
    </row>
    <row r="117" spans="1:2" x14ac:dyDescent="0.25">
      <c r="A117" s="12"/>
      <c r="B117" s="12"/>
    </row>
    <row r="118" spans="1:2" x14ac:dyDescent="0.25">
      <c r="A118" s="12"/>
      <c r="B118" s="12"/>
    </row>
    <row r="119" spans="1:2" x14ac:dyDescent="0.25">
      <c r="A119" s="12"/>
      <c r="B119" s="12"/>
    </row>
    <row r="120" spans="1:2" x14ac:dyDescent="0.25">
      <c r="A120" s="12"/>
      <c r="B120" s="12"/>
    </row>
    <row r="121" spans="1:2" x14ac:dyDescent="0.25">
      <c r="A121" s="12"/>
      <c r="B121" s="12"/>
    </row>
    <row r="122" spans="1:2" x14ac:dyDescent="0.25">
      <c r="A122" s="12"/>
      <c r="B122" s="12"/>
    </row>
    <row r="123" spans="1:2" x14ac:dyDescent="0.25">
      <c r="A123" s="12"/>
      <c r="B123" s="12"/>
    </row>
    <row r="124" spans="1:2" x14ac:dyDescent="0.25">
      <c r="A124" s="12"/>
      <c r="B124" s="12"/>
    </row>
    <row r="125" spans="1:2" x14ac:dyDescent="0.25">
      <c r="A125" s="12"/>
      <c r="B125" s="12"/>
    </row>
    <row r="126" spans="1:2" x14ac:dyDescent="0.25">
      <c r="A126" s="12"/>
      <c r="B126" s="12"/>
    </row>
    <row r="127" spans="1:2" x14ac:dyDescent="0.25">
      <c r="A127" s="12"/>
      <c r="B127" s="12"/>
    </row>
    <row r="128" spans="1:2" x14ac:dyDescent="0.25">
      <c r="A128" s="12"/>
      <c r="B128" s="12"/>
    </row>
    <row r="129" spans="1:2" x14ac:dyDescent="0.25">
      <c r="A129" s="12"/>
      <c r="B129" s="12"/>
    </row>
    <row r="130" spans="1:2" x14ac:dyDescent="0.25">
      <c r="A130" s="12"/>
      <c r="B130" s="12"/>
    </row>
    <row r="131" spans="1:2" x14ac:dyDescent="0.25">
      <c r="A131" s="12"/>
      <c r="B131" s="12"/>
    </row>
    <row r="132" spans="1:2" x14ac:dyDescent="0.25">
      <c r="A132" s="12"/>
      <c r="B132" s="12"/>
    </row>
    <row r="133" spans="1:2" x14ac:dyDescent="0.25">
      <c r="A133" s="12"/>
      <c r="B133" s="12"/>
    </row>
    <row r="134" spans="1:2" x14ac:dyDescent="0.25">
      <c r="A134" s="12"/>
      <c r="B134" s="12"/>
    </row>
    <row r="135" spans="1:2" x14ac:dyDescent="0.25">
      <c r="A135" s="12"/>
      <c r="B135" s="12"/>
    </row>
    <row r="136" spans="1:2" x14ac:dyDescent="0.25">
      <c r="A136" s="12"/>
      <c r="B136" s="12"/>
    </row>
    <row r="137" spans="1:2" x14ac:dyDescent="0.25">
      <c r="A137" s="12"/>
      <c r="B137" s="12"/>
    </row>
    <row r="138" spans="1:2" x14ac:dyDescent="0.25">
      <c r="A138" s="12"/>
      <c r="B138" s="12"/>
    </row>
    <row r="139" spans="1:2" x14ac:dyDescent="0.25">
      <c r="A139" s="12"/>
      <c r="B139" s="12"/>
    </row>
    <row r="140" spans="1:2" x14ac:dyDescent="0.25">
      <c r="A140" s="12"/>
      <c r="B140" s="12"/>
    </row>
    <row r="141" spans="1:2" x14ac:dyDescent="0.25">
      <c r="A141" s="12"/>
      <c r="B141" s="12"/>
    </row>
    <row r="142" spans="1:2" x14ac:dyDescent="0.25">
      <c r="A142" s="12"/>
      <c r="B142" s="12"/>
    </row>
    <row r="143" spans="1:2" x14ac:dyDescent="0.25">
      <c r="A143" s="12"/>
      <c r="B143" s="12"/>
    </row>
    <row r="144" spans="1:2" x14ac:dyDescent="0.25">
      <c r="A144" s="12"/>
      <c r="B144" s="12"/>
    </row>
    <row r="145" spans="1:2" x14ac:dyDescent="0.25">
      <c r="A145" s="12"/>
      <c r="B145" s="12"/>
    </row>
    <row r="146" spans="1:2" x14ac:dyDescent="0.25">
      <c r="A146" s="12"/>
      <c r="B146" s="12"/>
    </row>
    <row r="147" spans="1:2" x14ac:dyDescent="0.25">
      <c r="A147" s="12"/>
      <c r="B147" s="12"/>
    </row>
    <row r="148" spans="1:2" x14ac:dyDescent="0.25">
      <c r="A148" s="12"/>
      <c r="B148" s="12"/>
    </row>
    <row r="149" spans="1:2" x14ac:dyDescent="0.25">
      <c r="A149" s="12"/>
      <c r="B149" s="12"/>
    </row>
    <row r="150" spans="1:2" x14ac:dyDescent="0.25">
      <c r="A150" s="12"/>
      <c r="B150" s="12"/>
    </row>
  </sheetData>
  <mergeCells count="1">
    <mergeCell ref="A1:B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BB4AF-781D-4247-94F2-AC28FE57C511}">
  <dimension ref="A1:P100"/>
  <sheetViews>
    <sheetView zoomScaleNormal="100"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G79" sqref="G79:G89"/>
    </sheetView>
  </sheetViews>
  <sheetFormatPr defaultColWidth="9.140625" defaultRowHeight="12.75" x14ac:dyDescent="0.2"/>
  <cols>
    <col min="1" max="1" width="7" style="54" bestFit="1" customWidth="1"/>
    <col min="2" max="2" width="12.140625" style="54" customWidth="1"/>
    <col min="3" max="3" width="12.140625" style="54" hidden="1" customWidth="1"/>
    <col min="4" max="8" width="12.140625" style="54" customWidth="1"/>
    <col min="9" max="9" width="9.140625" style="54"/>
    <col min="10" max="10" width="8.28515625" style="54" bestFit="1" customWidth="1"/>
    <col min="11" max="11" width="7.5703125" style="54" bestFit="1" customWidth="1"/>
    <col min="12" max="12" width="11" style="54" bestFit="1" customWidth="1"/>
    <col min="13" max="13" width="13.7109375" style="54" bestFit="1" customWidth="1"/>
    <col min="14" max="14" width="18.5703125" style="54" bestFit="1" customWidth="1"/>
    <col min="15" max="15" width="5.7109375" style="54" bestFit="1" customWidth="1"/>
    <col min="16" max="16384" width="9.140625" style="54"/>
  </cols>
  <sheetData>
    <row r="1" spans="1:12" x14ac:dyDescent="0.2">
      <c r="A1" s="320" t="s">
        <v>902</v>
      </c>
      <c r="B1" s="319">
        <f t="shared" ref="B1:H1" si="0">SUM(B3:B100)</f>
        <v>1166596.8700000001</v>
      </c>
      <c r="C1" s="319">
        <f t="shared" si="0"/>
        <v>125821.4</v>
      </c>
      <c r="D1" s="319">
        <f t="shared" si="0"/>
        <v>225618.24</v>
      </c>
      <c r="E1" s="319">
        <f t="shared" si="0"/>
        <v>624490.84000000008</v>
      </c>
      <c r="F1" s="319">
        <f t="shared" si="0"/>
        <v>643678.5</v>
      </c>
      <c r="G1" s="319">
        <f t="shared" si="0"/>
        <v>280616.96000000002</v>
      </c>
      <c r="H1" s="319">
        <f t="shared" si="0"/>
        <v>814767.51</v>
      </c>
      <c r="I1" s="318"/>
      <c r="J1" s="678" t="s">
        <v>903</v>
      </c>
      <c r="K1" s="678"/>
      <c r="L1" s="678"/>
    </row>
    <row r="2" spans="1:12" x14ac:dyDescent="0.2">
      <c r="A2" s="317"/>
      <c r="B2" s="317" t="s">
        <v>744</v>
      </c>
      <c r="C2" s="317" t="s">
        <v>248</v>
      </c>
      <c r="D2" s="317" t="s">
        <v>904</v>
      </c>
      <c r="E2" s="316" t="s">
        <v>255</v>
      </c>
      <c r="F2" s="316" t="s">
        <v>314</v>
      </c>
      <c r="G2" s="316" t="s">
        <v>905</v>
      </c>
      <c r="H2" s="316" t="s">
        <v>745</v>
      </c>
    </row>
    <row r="3" spans="1:12" x14ac:dyDescent="0.2">
      <c r="A3" s="302">
        <v>42309</v>
      </c>
      <c r="B3" s="315"/>
      <c r="C3" s="315"/>
      <c r="D3" s="315"/>
      <c r="E3" s="315"/>
      <c r="F3" s="315"/>
      <c r="G3" s="315"/>
      <c r="H3" s="315"/>
    </row>
    <row r="4" spans="1:12" x14ac:dyDescent="0.2">
      <c r="A4" s="302">
        <v>42339</v>
      </c>
      <c r="B4" s="315"/>
      <c r="C4" s="315"/>
      <c r="D4" s="315"/>
      <c r="E4" s="315"/>
      <c r="F4" s="315"/>
      <c r="G4" s="315"/>
      <c r="H4" s="315"/>
    </row>
    <row r="5" spans="1:12" x14ac:dyDescent="0.2">
      <c r="A5" s="302">
        <v>42370</v>
      </c>
      <c r="B5" s="315"/>
      <c r="C5" s="315"/>
      <c r="D5" s="315"/>
      <c r="E5" s="315"/>
      <c r="F5" s="315"/>
      <c r="G5" s="315"/>
      <c r="H5" s="315"/>
    </row>
    <row r="6" spans="1:12" x14ac:dyDescent="0.2">
      <c r="A6" s="302">
        <v>42401</v>
      </c>
      <c r="B6" s="315"/>
      <c r="C6" s="59"/>
      <c r="D6" s="307"/>
      <c r="E6" s="315"/>
      <c r="F6" s="315"/>
      <c r="G6" s="315"/>
      <c r="H6" s="315"/>
    </row>
    <row r="7" spans="1:12" x14ac:dyDescent="0.2">
      <c r="A7" s="302">
        <v>42430</v>
      </c>
      <c r="B7" s="315"/>
      <c r="C7" s="59"/>
      <c r="D7" s="307"/>
      <c r="E7" s="315"/>
      <c r="F7" s="315"/>
      <c r="G7" s="315"/>
      <c r="H7" s="315"/>
    </row>
    <row r="8" spans="1:12" x14ac:dyDescent="0.2">
      <c r="A8" s="302">
        <v>42461</v>
      </c>
      <c r="B8" s="315"/>
      <c r="C8" s="59"/>
      <c r="D8" s="307"/>
      <c r="E8" s="315"/>
      <c r="F8" s="315"/>
      <c r="G8" s="315"/>
      <c r="H8" s="315"/>
    </row>
    <row r="9" spans="1:12" x14ac:dyDescent="0.2">
      <c r="A9" s="302">
        <v>42491</v>
      </c>
      <c r="B9" s="315"/>
      <c r="C9" s="59"/>
      <c r="D9" s="307"/>
      <c r="E9" s="315"/>
      <c r="F9" s="315"/>
      <c r="G9" s="315"/>
      <c r="H9" s="315"/>
    </row>
    <row r="10" spans="1:12" x14ac:dyDescent="0.2">
      <c r="A10" s="302">
        <v>42522</v>
      </c>
      <c r="B10" s="307"/>
      <c r="C10" s="59"/>
      <c r="D10" s="307"/>
      <c r="E10" s="307"/>
      <c r="F10" s="307"/>
      <c r="G10" s="307"/>
      <c r="H10" s="307"/>
    </row>
    <row r="11" spans="1:12" x14ac:dyDescent="0.2">
      <c r="A11" s="302">
        <v>42552</v>
      </c>
      <c r="B11" s="307"/>
      <c r="C11" s="59"/>
      <c r="D11" s="307"/>
      <c r="E11" s="59"/>
      <c r="F11" s="307"/>
      <c r="G11" s="307"/>
      <c r="H11" s="307"/>
    </row>
    <row r="12" spans="1:12" x14ac:dyDescent="0.2">
      <c r="A12" s="302">
        <v>42583</v>
      </c>
      <c r="B12" s="307"/>
      <c r="C12" s="59"/>
      <c r="D12" s="307"/>
      <c r="E12" s="59"/>
      <c r="F12" s="307"/>
      <c r="G12" s="307"/>
      <c r="H12" s="307"/>
    </row>
    <row r="13" spans="1:12" x14ac:dyDescent="0.2">
      <c r="A13" s="302">
        <v>42614</v>
      </c>
      <c r="B13" s="313"/>
      <c r="C13" s="59"/>
      <c r="D13" s="307"/>
      <c r="E13" s="59"/>
      <c r="F13" s="307"/>
      <c r="G13" s="307"/>
      <c r="H13" s="307"/>
    </row>
    <row r="14" spans="1:12" x14ac:dyDescent="0.2">
      <c r="A14" s="302">
        <v>42644</v>
      </c>
      <c r="B14" s="313"/>
      <c r="C14" s="59"/>
      <c r="D14" s="307"/>
      <c r="E14" s="59"/>
      <c r="F14" s="307"/>
      <c r="G14" s="307"/>
      <c r="H14" s="307"/>
    </row>
    <row r="15" spans="1:12" x14ac:dyDescent="0.2">
      <c r="A15" s="302">
        <v>42675</v>
      </c>
      <c r="B15" s="313"/>
      <c r="C15" s="59"/>
      <c r="D15" s="307"/>
      <c r="E15" s="59">
        <v>41949</v>
      </c>
      <c r="F15" s="307"/>
      <c r="G15" s="307"/>
      <c r="H15" s="307"/>
      <c r="L15" s="54" t="s">
        <v>168</v>
      </c>
    </row>
    <row r="16" spans="1:12" x14ac:dyDescent="0.2">
      <c r="A16" s="302">
        <v>42705</v>
      </c>
      <c r="B16" s="313"/>
      <c r="C16" s="59"/>
      <c r="D16" s="307"/>
      <c r="E16" s="59">
        <v>3246</v>
      </c>
      <c r="F16" s="307"/>
      <c r="G16" s="307"/>
      <c r="H16" s="307"/>
    </row>
    <row r="17" spans="1:8" x14ac:dyDescent="0.2">
      <c r="A17" s="302">
        <v>42736</v>
      </c>
      <c r="B17" s="313"/>
      <c r="C17" s="59"/>
      <c r="D17" s="307"/>
      <c r="E17" s="59">
        <v>12342</v>
      </c>
      <c r="F17" s="307"/>
      <c r="G17" s="307"/>
      <c r="H17" s="307"/>
    </row>
    <row r="18" spans="1:8" x14ac:dyDescent="0.2">
      <c r="A18" s="302">
        <v>42767</v>
      </c>
      <c r="B18" s="313"/>
      <c r="C18" s="59"/>
      <c r="D18" s="307"/>
      <c r="E18" s="59">
        <v>7635</v>
      </c>
      <c r="F18" s="307"/>
      <c r="G18" s="307"/>
      <c r="H18" s="307"/>
    </row>
    <row r="19" spans="1:8" x14ac:dyDescent="0.2">
      <c r="A19" s="302">
        <v>42795</v>
      </c>
      <c r="B19" s="313"/>
      <c r="C19" s="59"/>
      <c r="D19" s="307"/>
      <c r="E19" s="59">
        <v>13250</v>
      </c>
      <c r="F19" s="307"/>
      <c r="G19" s="307"/>
      <c r="H19" s="307"/>
    </row>
    <row r="20" spans="1:8" x14ac:dyDescent="0.2">
      <c r="A20" s="302">
        <v>42826</v>
      </c>
      <c r="B20" s="59">
        <v>13217.04</v>
      </c>
      <c r="C20" s="59"/>
      <c r="D20" s="307"/>
      <c r="E20" s="59">
        <v>46141</v>
      </c>
      <c r="F20" s="307"/>
      <c r="G20" s="307"/>
      <c r="H20" s="307"/>
    </row>
    <row r="21" spans="1:8" x14ac:dyDescent="0.2">
      <c r="A21" s="302">
        <v>42856</v>
      </c>
      <c r="B21" s="59">
        <v>27570.81</v>
      </c>
      <c r="C21" s="59"/>
      <c r="D21" s="307"/>
      <c r="E21" s="59">
        <v>28672</v>
      </c>
      <c r="F21" s="307"/>
      <c r="G21" s="307"/>
      <c r="H21" s="307"/>
    </row>
    <row r="22" spans="1:8" x14ac:dyDescent="0.2">
      <c r="A22" s="302">
        <v>42887</v>
      </c>
      <c r="B22" s="59">
        <v>17137</v>
      </c>
      <c r="C22" s="59"/>
      <c r="D22" s="307"/>
      <c r="E22" s="59">
        <v>1950</v>
      </c>
      <c r="F22" s="307"/>
      <c r="G22" s="307"/>
      <c r="H22" s="307"/>
    </row>
    <row r="23" spans="1:8" x14ac:dyDescent="0.2">
      <c r="A23" s="302">
        <v>42917</v>
      </c>
      <c r="B23" s="59">
        <v>31549</v>
      </c>
      <c r="C23" s="59"/>
      <c r="D23" s="307"/>
      <c r="E23" s="312">
        <v>13565</v>
      </c>
      <c r="F23" s="307"/>
      <c r="G23" s="307"/>
      <c r="H23" s="314">
        <v>0</v>
      </c>
    </row>
    <row r="24" spans="1:8" x14ac:dyDescent="0.2">
      <c r="A24" s="302">
        <v>42948</v>
      </c>
      <c r="B24" s="59">
        <v>38025.68</v>
      </c>
      <c r="C24" s="59"/>
      <c r="D24" s="307"/>
      <c r="E24" s="312">
        <v>35522</v>
      </c>
      <c r="F24" s="307"/>
      <c r="G24" s="307"/>
      <c r="H24" s="313">
        <v>3522</v>
      </c>
    </row>
    <row r="25" spans="1:8" x14ac:dyDescent="0.2">
      <c r="A25" s="302">
        <v>42979</v>
      </c>
      <c r="B25" s="59">
        <v>16745</v>
      </c>
      <c r="C25" s="59"/>
      <c r="D25" s="307"/>
      <c r="E25" s="312">
        <v>13403</v>
      </c>
      <c r="F25" s="307"/>
      <c r="G25" s="307"/>
      <c r="H25" s="313">
        <v>4111</v>
      </c>
    </row>
    <row r="26" spans="1:8" x14ac:dyDescent="0.2">
      <c r="A26" s="302">
        <v>43009</v>
      </c>
      <c r="B26" s="312">
        <v>23546</v>
      </c>
      <c r="C26" s="59"/>
      <c r="D26" s="307"/>
      <c r="E26" s="312">
        <v>5911</v>
      </c>
      <c r="F26" s="307"/>
      <c r="G26" s="307"/>
      <c r="H26" s="313">
        <v>121.77</v>
      </c>
    </row>
    <row r="27" spans="1:8" x14ac:dyDescent="0.2">
      <c r="A27" s="302">
        <v>43040</v>
      </c>
      <c r="B27" s="312">
        <v>18802</v>
      </c>
      <c r="C27" s="59"/>
      <c r="D27" s="307"/>
      <c r="E27" s="312">
        <v>2251</v>
      </c>
      <c r="F27" s="307"/>
      <c r="G27" s="307"/>
      <c r="H27" s="313">
        <v>0</v>
      </c>
    </row>
    <row r="28" spans="1:8" x14ac:dyDescent="0.2">
      <c r="A28" s="302">
        <v>43070</v>
      </c>
      <c r="B28" s="312">
        <v>6156.61</v>
      </c>
      <c r="C28" s="59"/>
      <c r="D28" s="307"/>
      <c r="E28" s="312">
        <v>15917</v>
      </c>
      <c r="F28" s="307"/>
      <c r="G28" s="307"/>
      <c r="H28" s="313">
        <v>0</v>
      </c>
    </row>
    <row r="29" spans="1:8" x14ac:dyDescent="0.2">
      <c r="A29" s="302">
        <v>43101</v>
      </c>
      <c r="B29" s="312">
        <v>45646</v>
      </c>
      <c r="C29" s="59"/>
      <c r="D29" s="307"/>
      <c r="E29" s="312">
        <v>0</v>
      </c>
      <c r="F29" s="307"/>
      <c r="G29" s="307"/>
      <c r="H29" s="313">
        <v>0</v>
      </c>
    </row>
    <row r="30" spans="1:8" x14ac:dyDescent="0.2">
      <c r="A30" s="302">
        <v>43132</v>
      </c>
      <c r="B30" s="312">
        <v>10306.06</v>
      </c>
      <c r="C30" s="59"/>
      <c r="D30" s="307"/>
      <c r="E30" s="312">
        <v>0</v>
      </c>
      <c r="F30" s="307"/>
      <c r="G30" s="307"/>
      <c r="H30" s="313">
        <v>0</v>
      </c>
    </row>
    <row r="31" spans="1:8" x14ac:dyDescent="0.2">
      <c r="A31" s="676">
        <v>43160</v>
      </c>
      <c r="B31" s="312">
        <v>14203.81</v>
      </c>
      <c r="C31" s="59"/>
      <c r="D31" s="307"/>
      <c r="E31" s="312">
        <v>16784</v>
      </c>
      <c r="F31" s="307"/>
      <c r="G31" s="307"/>
      <c r="H31" s="313">
        <v>5504</v>
      </c>
    </row>
    <row r="32" spans="1:8" x14ac:dyDescent="0.2">
      <c r="A32" s="677"/>
      <c r="B32" s="312">
        <v>9341</v>
      </c>
      <c r="C32" s="59"/>
      <c r="D32" s="307"/>
      <c r="E32" s="312">
        <v>29361</v>
      </c>
      <c r="F32" s="307"/>
      <c r="G32" s="307"/>
      <c r="H32" s="313">
        <v>0</v>
      </c>
    </row>
    <row r="33" spans="1:16" x14ac:dyDescent="0.2">
      <c r="A33" s="302">
        <v>43191</v>
      </c>
      <c r="B33" s="312">
        <v>0</v>
      </c>
      <c r="C33" s="59"/>
      <c r="D33" s="307"/>
      <c r="E33" s="312">
        <v>171.84</v>
      </c>
      <c r="F33" s="307"/>
      <c r="G33" s="307"/>
      <c r="H33" s="313">
        <v>0</v>
      </c>
    </row>
    <row r="34" spans="1:16" x14ac:dyDescent="0.2">
      <c r="A34" s="302">
        <v>43221</v>
      </c>
      <c r="B34" s="312">
        <v>24310</v>
      </c>
      <c r="C34" s="59"/>
      <c r="D34" s="307"/>
      <c r="E34" s="312">
        <v>1969</v>
      </c>
      <c r="F34" s="307"/>
      <c r="G34" s="307"/>
      <c r="H34" s="313">
        <v>0</v>
      </c>
    </row>
    <row r="35" spans="1:16" x14ac:dyDescent="0.2">
      <c r="A35" s="302">
        <v>43252</v>
      </c>
      <c r="B35" s="312">
        <v>30971.19</v>
      </c>
      <c r="C35" s="59">
        <v>10101</v>
      </c>
      <c r="D35" s="307"/>
      <c r="E35" s="312">
        <v>6981</v>
      </c>
      <c r="F35" s="307"/>
      <c r="G35" s="307"/>
      <c r="H35" s="313">
        <v>31146.87</v>
      </c>
      <c r="L35" s="251"/>
      <c r="M35" s="251"/>
      <c r="N35" s="251"/>
      <c r="O35" s="251"/>
    </row>
    <row r="36" spans="1:16" x14ac:dyDescent="0.2">
      <c r="A36" s="302">
        <v>43282</v>
      </c>
      <c r="B36" s="312">
        <v>22885.439999999999</v>
      </c>
      <c r="C36" s="309">
        <v>9601</v>
      </c>
      <c r="D36" s="307"/>
      <c r="E36" s="306">
        <v>9040</v>
      </c>
      <c r="F36" s="307"/>
      <c r="G36" s="307"/>
      <c r="H36" s="313">
        <v>1938.87</v>
      </c>
      <c r="L36" s="276"/>
      <c r="O36" s="277"/>
    </row>
    <row r="37" spans="1:16" x14ac:dyDescent="0.2">
      <c r="A37" s="302">
        <v>43313</v>
      </c>
      <c r="B37" s="312">
        <v>21395.03</v>
      </c>
      <c r="C37" s="309">
        <v>9617.5</v>
      </c>
      <c r="D37" s="307"/>
      <c r="E37" s="306">
        <v>7700</v>
      </c>
      <c r="F37" s="307"/>
      <c r="G37" s="307"/>
      <c r="H37" s="306">
        <v>7618</v>
      </c>
      <c r="L37" s="276"/>
      <c r="O37" s="277"/>
    </row>
    <row r="38" spans="1:16" x14ac:dyDescent="0.2">
      <c r="A38" s="302">
        <v>43344</v>
      </c>
      <c r="B38" s="312">
        <v>40454</v>
      </c>
      <c r="C38" s="309">
        <v>0</v>
      </c>
      <c r="D38" s="307"/>
      <c r="E38" s="306">
        <v>2408</v>
      </c>
      <c r="F38" s="307"/>
      <c r="G38" s="307"/>
      <c r="H38" s="306">
        <v>36091</v>
      </c>
      <c r="J38" s="61"/>
      <c r="K38" s="61"/>
      <c r="L38" s="276"/>
      <c r="O38" s="277"/>
      <c r="P38" s="61"/>
    </row>
    <row r="39" spans="1:16" x14ac:dyDescent="0.2">
      <c r="A39" s="302">
        <v>43374</v>
      </c>
      <c r="B39" s="306">
        <v>66894.75</v>
      </c>
      <c r="C39" s="309">
        <v>4554.21</v>
      </c>
      <c r="D39" s="307"/>
      <c r="E39" s="306">
        <v>3259</v>
      </c>
      <c r="F39" s="307"/>
      <c r="G39" s="307"/>
      <c r="H39" s="306">
        <v>5177</v>
      </c>
      <c r="J39" s="61"/>
      <c r="K39" s="61"/>
      <c r="L39" s="276"/>
      <c r="M39" s="311"/>
      <c r="N39" s="311"/>
      <c r="O39" s="310"/>
      <c r="P39" s="61"/>
    </row>
    <row r="40" spans="1:16" x14ac:dyDescent="0.2">
      <c r="A40" s="302">
        <v>43405</v>
      </c>
      <c r="B40" s="306">
        <v>24482</v>
      </c>
      <c r="C40" s="309">
        <v>0</v>
      </c>
      <c r="D40" s="307"/>
      <c r="E40" s="306">
        <v>13942</v>
      </c>
      <c r="F40" s="307"/>
      <c r="G40" s="307"/>
      <c r="H40" s="306">
        <v>10663</v>
      </c>
      <c r="J40" s="61"/>
      <c r="K40" s="61"/>
      <c r="L40" s="276"/>
      <c r="O40" s="277"/>
      <c r="P40" s="61"/>
    </row>
    <row r="41" spans="1:16" x14ac:dyDescent="0.2">
      <c r="A41" s="302">
        <v>43435</v>
      </c>
      <c r="B41" s="306">
        <v>21297.51</v>
      </c>
      <c r="C41" s="309">
        <v>0</v>
      </c>
      <c r="D41" s="307"/>
      <c r="E41" s="306">
        <v>2737</v>
      </c>
      <c r="F41" s="307"/>
      <c r="G41" s="307"/>
      <c r="H41" s="306">
        <v>27353</v>
      </c>
      <c r="J41" s="61"/>
      <c r="K41" s="61"/>
      <c r="L41" s="276"/>
      <c r="O41" s="277"/>
      <c r="P41" s="61"/>
    </row>
    <row r="42" spans="1:16" x14ac:dyDescent="0.2">
      <c r="A42" s="302">
        <v>43466</v>
      </c>
      <c r="B42" s="306">
        <v>15270.37</v>
      </c>
      <c r="C42" s="309">
        <v>0</v>
      </c>
      <c r="D42" s="301">
        <v>2002</v>
      </c>
      <c r="E42" s="306">
        <v>4811</v>
      </c>
      <c r="F42" s="307"/>
      <c r="G42" s="307"/>
      <c r="H42" s="306">
        <v>51700</v>
      </c>
      <c r="J42" s="61"/>
      <c r="K42" s="61"/>
      <c r="L42" s="276"/>
      <c r="O42" s="277"/>
      <c r="P42" s="61"/>
    </row>
    <row r="43" spans="1:16" x14ac:dyDescent="0.2">
      <c r="A43" s="302">
        <v>43497</v>
      </c>
      <c r="B43" s="306">
        <v>123136.49</v>
      </c>
      <c r="C43" s="309">
        <v>0</v>
      </c>
      <c r="D43" s="301">
        <v>2482</v>
      </c>
      <c r="E43" s="306">
        <v>13687</v>
      </c>
      <c r="F43" s="307"/>
      <c r="G43" s="307"/>
      <c r="H43" s="306">
        <v>45140</v>
      </c>
      <c r="J43" s="61"/>
      <c r="K43" s="61"/>
      <c r="L43" s="276"/>
      <c r="O43" s="277"/>
      <c r="P43" s="61"/>
    </row>
    <row r="44" spans="1:16" x14ac:dyDescent="0.2">
      <c r="A44" s="302">
        <v>43525</v>
      </c>
      <c r="B44" s="306">
        <v>107547.94</v>
      </c>
      <c r="C44" s="309">
        <v>4020.4</v>
      </c>
      <c r="D44" s="301">
        <v>14744.83</v>
      </c>
      <c r="E44" s="306">
        <v>1769</v>
      </c>
      <c r="F44" s="306">
        <v>19410.57</v>
      </c>
      <c r="G44" s="307"/>
      <c r="H44" s="306">
        <v>31543</v>
      </c>
      <c r="J44" s="61"/>
      <c r="K44" s="61"/>
      <c r="L44" s="276"/>
      <c r="O44" s="277"/>
      <c r="P44" s="61"/>
    </row>
    <row r="45" spans="1:16" x14ac:dyDescent="0.2">
      <c r="A45" s="302">
        <v>43556</v>
      </c>
      <c r="B45" s="306">
        <v>40599</v>
      </c>
      <c r="C45" s="309">
        <v>0</v>
      </c>
      <c r="D45" s="301">
        <v>12788.57</v>
      </c>
      <c r="E45" s="306">
        <v>16248</v>
      </c>
      <c r="F45" s="306">
        <v>319</v>
      </c>
      <c r="G45" s="307"/>
      <c r="H45" s="306">
        <v>128431</v>
      </c>
      <c r="J45" s="61"/>
      <c r="K45" s="61"/>
      <c r="L45" s="61"/>
      <c r="M45" s="61"/>
      <c r="N45" s="61"/>
      <c r="O45" s="61"/>
      <c r="P45" s="61"/>
    </row>
    <row r="46" spans="1:16" x14ac:dyDescent="0.2">
      <c r="A46" s="302">
        <v>43586</v>
      </c>
      <c r="B46" s="306">
        <v>43045.22</v>
      </c>
      <c r="C46" s="309">
        <v>49937.09</v>
      </c>
      <c r="D46" s="301">
        <v>9248.18</v>
      </c>
      <c r="E46" s="306">
        <v>0</v>
      </c>
      <c r="F46" s="306">
        <v>27560</v>
      </c>
      <c r="G46" s="307"/>
      <c r="H46" s="306">
        <v>23541</v>
      </c>
      <c r="J46" s="61"/>
      <c r="K46" s="61"/>
      <c r="L46" s="61"/>
      <c r="M46" s="61"/>
      <c r="N46" s="61"/>
      <c r="O46" s="61"/>
      <c r="P46" s="61"/>
    </row>
    <row r="47" spans="1:16" x14ac:dyDescent="0.2">
      <c r="A47" s="302">
        <v>43617</v>
      </c>
      <c r="B47" s="306">
        <v>50078.16</v>
      </c>
      <c r="C47" s="309">
        <v>3127.39</v>
      </c>
      <c r="D47" s="301">
        <v>8059.68</v>
      </c>
      <c r="E47" s="306">
        <v>32057</v>
      </c>
      <c r="F47" s="306">
        <v>2879</v>
      </c>
      <c r="G47" s="307"/>
      <c r="H47" s="306">
        <v>20601</v>
      </c>
      <c r="J47" s="61"/>
      <c r="K47" s="61"/>
      <c r="L47" s="61"/>
      <c r="M47" s="61"/>
      <c r="N47" s="61"/>
      <c r="O47" s="61"/>
      <c r="P47" s="61"/>
    </row>
    <row r="48" spans="1:16" x14ac:dyDescent="0.2">
      <c r="A48" s="302">
        <v>43647</v>
      </c>
      <c r="B48" s="306">
        <v>125715.59</v>
      </c>
      <c r="C48" s="305">
        <v>3195.74</v>
      </c>
      <c r="D48" s="301">
        <v>13488.45</v>
      </c>
      <c r="E48" s="301">
        <v>40655</v>
      </c>
      <c r="F48" s="308">
        <v>12786.12</v>
      </c>
      <c r="G48" s="307"/>
      <c r="H48" s="306">
        <v>808</v>
      </c>
      <c r="J48" s="61"/>
      <c r="K48" s="61"/>
      <c r="L48" s="61"/>
      <c r="M48" s="61"/>
      <c r="N48" s="61"/>
      <c r="O48" s="61"/>
      <c r="P48" s="61"/>
    </row>
    <row r="49" spans="1:16" x14ac:dyDescent="0.2">
      <c r="A49" s="302">
        <v>43678</v>
      </c>
      <c r="B49" s="306">
        <v>21877.34</v>
      </c>
      <c r="C49" s="305">
        <v>3201.01</v>
      </c>
      <c r="D49" s="301">
        <v>5954.03</v>
      </c>
      <c r="E49" s="301">
        <v>82638</v>
      </c>
      <c r="F49" s="306">
        <v>20000</v>
      </c>
      <c r="G49" s="307"/>
      <c r="H49" s="304">
        <v>1490</v>
      </c>
      <c r="J49" s="61"/>
      <c r="K49" s="61"/>
      <c r="L49" s="61"/>
      <c r="M49" s="61"/>
      <c r="N49" s="61"/>
      <c r="O49" s="61"/>
      <c r="P49" s="61"/>
    </row>
    <row r="50" spans="1:16" x14ac:dyDescent="0.2">
      <c r="A50" s="302">
        <v>43709</v>
      </c>
      <c r="B50" s="306">
        <v>31217.73</v>
      </c>
      <c r="C50" s="305">
        <v>4071.29</v>
      </c>
      <c r="D50" s="301">
        <v>4944.76</v>
      </c>
      <c r="E50" s="301">
        <v>12532</v>
      </c>
      <c r="F50" s="306">
        <v>2000</v>
      </c>
      <c r="G50" s="307"/>
      <c r="H50" s="304">
        <v>6121</v>
      </c>
      <c r="J50" s="61"/>
      <c r="K50" s="61"/>
      <c r="L50" s="61"/>
      <c r="M50" s="61"/>
      <c r="N50" s="61"/>
      <c r="O50" s="61"/>
      <c r="P50" s="61"/>
    </row>
    <row r="51" spans="1:16" x14ac:dyDescent="0.2">
      <c r="A51" s="302">
        <v>43739</v>
      </c>
      <c r="B51" s="304">
        <v>12666</v>
      </c>
      <c r="C51" s="305">
        <v>14867.38</v>
      </c>
      <c r="D51" s="301">
        <v>11693.89</v>
      </c>
      <c r="E51" s="301">
        <v>18256</v>
      </c>
      <c r="F51" s="306">
        <v>12233.2</v>
      </c>
      <c r="G51" s="307"/>
      <c r="H51" s="304">
        <v>54557</v>
      </c>
      <c r="J51" s="61"/>
      <c r="K51" s="61"/>
      <c r="L51" s="61"/>
      <c r="M51" s="61"/>
      <c r="N51" s="61"/>
      <c r="O51" s="61"/>
      <c r="P51" s="61"/>
    </row>
    <row r="52" spans="1:16" x14ac:dyDescent="0.2">
      <c r="A52" s="302">
        <v>43770</v>
      </c>
      <c r="B52" s="304">
        <v>16975</v>
      </c>
      <c r="C52" s="305">
        <v>3183.45</v>
      </c>
      <c r="D52" s="301">
        <v>2658.92</v>
      </c>
      <c r="E52" s="301">
        <v>15378</v>
      </c>
      <c r="F52" s="306">
        <v>12627.25</v>
      </c>
      <c r="G52" s="307"/>
      <c r="H52" s="304">
        <v>3920</v>
      </c>
      <c r="J52" s="61"/>
      <c r="K52" s="61"/>
      <c r="L52" s="61"/>
      <c r="M52" s="61"/>
      <c r="N52" s="61"/>
      <c r="O52" s="61"/>
      <c r="P52" s="61"/>
    </row>
    <row r="53" spans="1:16" x14ac:dyDescent="0.2">
      <c r="A53" s="302">
        <v>43800</v>
      </c>
      <c r="B53" s="304">
        <v>22660</v>
      </c>
      <c r="C53" s="305">
        <v>3177.48</v>
      </c>
      <c r="D53" s="301">
        <v>7477.98</v>
      </c>
      <c r="E53" s="301">
        <v>4113</v>
      </c>
      <c r="F53" s="306">
        <v>15225</v>
      </c>
      <c r="G53" s="307"/>
      <c r="H53" s="304">
        <v>29212</v>
      </c>
      <c r="J53" s="61"/>
      <c r="K53" s="61"/>
      <c r="L53" s="61"/>
      <c r="M53" s="61"/>
      <c r="N53" s="61"/>
      <c r="O53" s="61"/>
      <c r="P53" s="61"/>
    </row>
    <row r="54" spans="1:16" x14ac:dyDescent="0.2">
      <c r="A54" s="302">
        <v>43831</v>
      </c>
      <c r="B54" s="304">
        <v>777.37</v>
      </c>
      <c r="C54" s="305">
        <v>3166.46</v>
      </c>
      <c r="D54" s="304">
        <v>7694.46</v>
      </c>
      <c r="E54" s="301">
        <v>7908</v>
      </c>
      <c r="F54" s="306">
        <v>114817</v>
      </c>
      <c r="G54" s="307"/>
      <c r="H54" s="304">
        <v>5300</v>
      </c>
      <c r="J54" s="61"/>
      <c r="K54" s="61"/>
      <c r="L54" s="61"/>
      <c r="M54" s="61"/>
      <c r="N54" s="61"/>
      <c r="O54" s="61"/>
      <c r="P54" s="61"/>
    </row>
    <row r="55" spans="1:16" x14ac:dyDescent="0.2">
      <c r="A55" s="302">
        <v>43862</v>
      </c>
      <c r="B55" s="304">
        <v>11597.71</v>
      </c>
      <c r="C55" s="305"/>
      <c r="D55" s="304">
        <v>9804.4599999999991</v>
      </c>
      <c r="E55" s="301">
        <v>33978</v>
      </c>
      <c r="F55" s="306">
        <v>21297</v>
      </c>
      <c r="G55" s="304"/>
      <c r="H55" s="304">
        <v>269139</v>
      </c>
      <c r="J55" s="61"/>
      <c r="K55" s="61"/>
      <c r="L55" s="61"/>
      <c r="M55" s="61"/>
      <c r="N55" s="61"/>
      <c r="O55" s="61"/>
      <c r="P55" s="61"/>
    </row>
    <row r="56" spans="1:16" x14ac:dyDescent="0.2">
      <c r="A56" s="302">
        <v>43891</v>
      </c>
      <c r="B56" s="304">
        <v>17368.02</v>
      </c>
      <c r="C56" s="305"/>
      <c r="D56" s="304">
        <v>7130.25</v>
      </c>
      <c r="E56" s="301">
        <v>2518</v>
      </c>
      <c r="F56" s="304">
        <v>6606</v>
      </c>
      <c r="G56" s="304">
        <v>17167.099999999999</v>
      </c>
      <c r="H56" s="304">
        <v>0</v>
      </c>
      <c r="J56" s="290"/>
      <c r="K56" s="290"/>
      <c r="L56" s="290"/>
      <c r="M56" s="290"/>
      <c r="N56" s="290"/>
      <c r="O56" s="290"/>
      <c r="P56" s="290"/>
    </row>
    <row r="57" spans="1:16" x14ac:dyDescent="0.2">
      <c r="A57" s="302">
        <v>43922</v>
      </c>
      <c r="B57" s="304">
        <v>0</v>
      </c>
      <c r="C57" s="305"/>
      <c r="D57" s="304">
        <v>103210.19</v>
      </c>
      <c r="E57" s="301">
        <v>1836</v>
      </c>
      <c r="F57" s="304">
        <v>246564</v>
      </c>
      <c r="G57" s="304">
        <v>4881.01</v>
      </c>
      <c r="H57" s="304">
        <v>6000</v>
      </c>
    </row>
    <row r="58" spans="1:16" x14ac:dyDescent="0.2">
      <c r="A58" s="302">
        <v>43952</v>
      </c>
      <c r="B58" s="304">
        <v>1129</v>
      </c>
      <c r="C58" s="305"/>
      <c r="D58" s="304">
        <v>2235.59</v>
      </c>
      <c r="E58" s="301">
        <v>0</v>
      </c>
      <c r="F58" s="304">
        <v>4237</v>
      </c>
      <c r="G58" s="304">
        <v>16716.14</v>
      </c>
      <c r="H58" s="304">
        <v>3018</v>
      </c>
    </row>
    <row r="59" spans="1:16" x14ac:dyDescent="0.2">
      <c r="A59" s="302">
        <v>43983</v>
      </c>
      <c r="B59" s="304"/>
      <c r="C59" s="305"/>
      <c r="D59" s="304"/>
      <c r="E59" s="301"/>
      <c r="F59" s="304"/>
      <c r="G59" s="304"/>
      <c r="H59" s="304">
        <v>1000</v>
      </c>
    </row>
    <row r="60" spans="1:16" x14ac:dyDescent="0.2">
      <c r="A60" s="302">
        <v>44013</v>
      </c>
      <c r="B60" s="304"/>
      <c r="C60" s="59"/>
      <c r="D60" s="304"/>
      <c r="E60" s="304"/>
      <c r="F60" s="304"/>
      <c r="G60" s="304"/>
      <c r="H60" s="304"/>
    </row>
    <row r="61" spans="1:16" x14ac:dyDescent="0.2">
      <c r="A61" s="302">
        <v>44044</v>
      </c>
      <c r="B61" s="304"/>
      <c r="C61" s="59"/>
      <c r="D61" s="304"/>
      <c r="E61" s="304"/>
      <c r="F61" s="304"/>
      <c r="G61" s="304"/>
      <c r="H61" s="303"/>
    </row>
    <row r="62" spans="1:16" x14ac:dyDescent="0.2">
      <c r="A62" s="302">
        <v>44075</v>
      </c>
      <c r="B62" s="304"/>
      <c r="C62" s="59"/>
      <c r="D62" s="304"/>
      <c r="E62" s="304"/>
      <c r="F62" s="304"/>
      <c r="G62" s="304"/>
      <c r="H62" s="303"/>
    </row>
    <row r="63" spans="1:16" x14ac:dyDescent="0.2">
      <c r="A63" s="302">
        <v>44105</v>
      </c>
      <c r="B63" s="303"/>
      <c r="C63" s="59"/>
      <c r="D63" s="304"/>
      <c r="E63" s="304"/>
      <c r="F63" s="304"/>
      <c r="G63" s="304"/>
      <c r="H63" s="303"/>
    </row>
    <row r="64" spans="1:16" x14ac:dyDescent="0.2">
      <c r="A64" s="302">
        <v>44136</v>
      </c>
      <c r="B64" s="303"/>
      <c r="C64" s="59"/>
      <c r="D64" s="304"/>
      <c r="E64" s="304"/>
      <c r="F64" s="304"/>
      <c r="G64" s="304"/>
      <c r="H64" s="303"/>
    </row>
    <row r="65" spans="1:8" x14ac:dyDescent="0.2">
      <c r="A65" s="302">
        <v>44166</v>
      </c>
      <c r="B65" s="303"/>
      <c r="C65" s="59"/>
      <c r="D65" s="304"/>
      <c r="E65" s="304"/>
      <c r="F65" s="304"/>
      <c r="G65" s="304"/>
      <c r="H65" s="303"/>
    </row>
    <row r="66" spans="1:8" x14ac:dyDescent="0.2">
      <c r="A66" s="302">
        <v>44197</v>
      </c>
      <c r="B66" s="303"/>
      <c r="C66" s="59"/>
      <c r="D66" s="303"/>
      <c r="E66" s="304"/>
      <c r="F66" s="304">
        <v>120785</v>
      </c>
      <c r="G66" s="304"/>
      <c r="H66" s="303"/>
    </row>
    <row r="67" spans="1:8" x14ac:dyDescent="0.2">
      <c r="A67" s="302">
        <v>44228</v>
      </c>
      <c r="B67" s="303"/>
      <c r="C67" s="59"/>
      <c r="D67" s="303"/>
      <c r="E67" s="304"/>
      <c r="F67" s="304">
        <v>4332.3599999999997</v>
      </c>
      <c r="G67" s="303">
        <v>12398.75</v>
      </c>
      <c r="H67" s="303"/>
    </row>
    <row r="68" spans="1:8" x14ac:dyDescent="0.2">
      <c r="A68" s="302">
        <v>44256</v>
      </c>
      <c r="B68" s="303"/>
      <c r="C68" s="59"/>
      <c r="D68" s="303"/>
      <c r="E68" s="304"/>
      <c r="F68" s="303"/>
      <c r="G68" s="303">
        <v>6606.43</v>
      </c>
      <c r="H68" s="303"/>
    </row>
    <row r="69" spans="1:8" x14ac:dyDescent="0.2">
      <c r="A69" s="302">
        <v>44287</v>
      </c>
      <c r="B69" s="303"/>
      <c r="C69" s="59"/>
      <c r="D69" s="303"/>
      <c r="E69" s="304"/>
      <c r="F69" s="303"/>
      <c r="G69" s="303">
        <v>18393.189999999999</v>
      </c>
      <c r="H69" s="303"/>
    </row>
    <row r="70" spans="1:8" x14ac:dyDescent="0.2">
      <c r="A70" s="302">
        <v>44317</v>
      </c>
      <c r="B70" s="303"/>
      <c r="C70" s="59"/>
      <c r="D70" s="303"/>
      <c r="E70" s="304"/>
      <c r="F70" s="303"/>
      <c r="G70" s="303">
        <v>4443.12</v>
      </c>
      <c r="H70" s="303"/>
    </row>
    <row r="71" spans="1:8" x14ac:dyDescent="0.2">
      <c r="A71" s="302">
        <v>44348</v>
      </c>
      <c r="B71" s="303"/>
      <c r="C71" s="59"/>
      <c r="D71" s="303"/>
      <c r="E71" s="304"/>
      <c r="F71" s="303"/>
      <c r="G71" s="303">
        <v>1713.61</v>
      </c>
      <c r="H71" s="303"/>
    </row>
    <row r="72" spans="1:8" x14ac:dyDescent="0.2">
      <c r="A72" s="302">
        <v>44378</v>
      </c>
      <c r="B72" s="303"/>
      <c r="C72" s="59"/>
      <c r="D72" s="303"/>
      <c r="E72" s="303"/>
      <c r="F72" s="303"/>
      <c r="G72" s="303">
        <v>15699.91</v>
      </c>
      <c r="H72" s="303"/>
    </row>
    <row r="73" spans="1:8" x14ac:dyDescent="0.2">
      <c r="A73" s="302">
        <v>44409</v>
      </c>
      <c r="B73" s="303"/>
      <c r="C73" s="59"/>
      <c r="D73" s="303"/>
      <c r="E73" s="303"/>
      <c r="F73" s="303"/>
      <c r="G73" s="303">
        <v>17763.919999999998</v>
      </c>
      <c r="H73" s="287"/>
    </row>
    <row r="74" spans="1:8" x14ac:dyDescent="0.2">
      <c r="A74" s="302">
        <v>44440</v>
      </c>
      <c r="B74" s="303"/>
      <c r="C74" s="59"/>
      <c r="D74" s="303"/>
      <c r="E74" s="303"/>
      <c r="F74" s="303"/>
      <c r="G74" s="303">
        <v>4946.96</v>
      </c>
      <c r="H74" s="287"/>
    </row>
    <row r="75" spans="1:8" x14ac:dyDescent="0.2">
      <c r="A75" s="302">
        <v>44470</v>
      </c>
      <c r="B75" s="287"/>
      <c r="C75" s="59"/>
      <c r="D75" s="303"/>
      <c r="E75" s="303"/>
      <c r="F75" s="303"/>
      <c r="G75" s="303">
        <v>19561</v>
      </c>
      <c r="H75" s="287"/>
    </row>
    <row r="76" spans="1:8" x14ac:dyDescent="0.2">
      <c r="A76" s="302">
        <v>44501</v>
      </c>
      <c r="B76" s="287"/>
      <c r="C76" s="59"/>
      <c r="D76" s="303"/>
      <c r="E76" s="303"/>
      <c r="F76" s="303"/>
      <c r="G76" s="303">
        <v>2406</v>
      </c>
      <c r="H76" s="287"/>
    </row>
    <row r="77" spans="1:8" x14ac:dyDescent="0.2">
      <c r="A77" s="302">
        <v>44531</v>
      </c>
      <c r="B77" s="287"/>
      <c r="C77" s="59"/>
      <c r="D77" s="303"/>
      <c r="E77" s="303"/>
      <c r="F77" s="303"/>
      <c r="G77" s="303">
        <v>24538.7</v>
      </c>
      <c r="H77" s="287"/>
    </row>
    <row r="78" spans="1:8" x14ac:dyDescent="0.2">
      <c r="A78" s="302">
        <v>44562</v>
      </c>
      <c r="B78" s="287"/>
      <c r="C78" s="59"/>
      <c r="D78" s="287"/>
      <c r="E78" s="303"/>
      <c r="F78" s="303"/>
      <c r="G78" s="303">
        <v>1537.68</v>
      </c>
      <c r="H78" s="287"/>
    </row>
    <row r="79" spans="1:8" x14ac:dyDescent="0.2">
      <c r="A79" s="302">
        <v>44593</v>
      </c>
      <c r="B79" s="287"/>
      <c r="C79" s="59"/>
      <c r="D79" s="287"/>
      <c r="E79" s="303"/>
      <c r="F79" s="303"/>
      <c r="G79" s="287">
        <v>19618.310000000001</v>
      </c>
      <c r="H79" s="287"/>
    </row>
    <row r="80" spans="1:8" x14ac:dyDescent="0.2">
      <c r="A80" s="302">
        <v>44621</v>
      </c>
      <c r="B80" s="287"/>
      <c r="C80" s="59"/>
      <c r="D80" s="287"/>
      <c r="E80" s="303"/>
      <c r="F80" s="287"/>
      <c r="G80" s="287">
        <v>588.28</v>
      </c>
      <c r="H80" s="287"/>
    </row>
    <row r="81" spans="1:8" x14ac:dyDescent="0.2">
      <c r="A81" s="302">
        <v>44652</v>
      </c>
      <c r="B81" s="287"/>
      <c r="C81" s="59"/>
      <c r="D81" s="287"/>
      <c r="E81" s="303"/>
      <c r="F81" s="287"/>
      <c r="G81" s="287">
        <v>6508.1</v>
      </c>
      <c r="H81" s="287"/>
    </row>
    <row r="82" spans="1:8" x14ac:dyDescent="0.2">
      <c r="A82" s="302">
        <v>44682</v>
      </c>
      <c r="B82" s="287"/>
      <c r="C82" s="59"/>
      <c r="D82" s="287"/>
      <c r="E82" s="303"/>
      <c r="F82" s="287"/>
      <c r="G82" s="287">
        <v>12333.18</v>
      </c>
      <c r="H82" s="287"/>
    </row>
    <row r="83" spans="1:8" x14ac:dyDescent="0.2">
      <c r="A83" s="302">
        <v>44713</v>
      </c>
      <c r="B83" s="287"/>
      <c r="C83" s="59"/>
      <c r="D83" s="287"/>
      <c r="E83" s="303"/>
      <c r="F83" s="287"/>
      <c r="G83" s="287">
        <v>6514.5</v>
      </c>
      <c r="H83" s="287"/>
    </row>
    <row r="84" spans="1:8" x14ac:dyDescent="0.2">
      <c r="A84" s="302">
        <v>44743</v>
      </c>
      <c r="B84" s="287"/>
      <c r="C84" s="59"/>
      <c r="D84" s="287"/>
      <c r="E84" s="287"/>
      <c r="F84" s="287"/>
      <c r="G84" s="287">
        <v>17675.55</v>
      </c>
      <c r="H84" s="287"/>
    </row>
    <row r="85" spans="1:8" x14ac:dyDescent="0.2">
      <c r="A85" s="302">
        <v>44774</v>
      </c>
      <c r="B85" s="287"/>
      <c r="C85" s="59"/>
      <c r="D85" s="287"/>
      <c r="E85" s="287"/>
      <c r="F85" s="287"/>
      <c r="G85" s="287">
        <v>1866</v>
      </c>
      <c r="H85" s="301"/>
    </row>
    <row r="86" spans="1:8" x14ac:dyDescent="0.2">
      <c r="A86" s="302">
        <v>44805</v>
      </c>
      <c r="B86" s="287"/>
      <c r="C86" s="59"/>
      <c r="D86" s="287"/>
      <c r="E86" s="287"/>
      <c r="F86" s="287"/>
      <c r="G86" s="287">
        <v>12303.71</v>
      </c>
      <c r="H86" s="301"/>
    </row>
    <row r="87" spans="1:8" x14ac:dyDescent="0.2">
      <c r="A87" s="302">
        <v>44835</v>
      </c>
      <c r="B87" s="301"/>
      <c r="C87" s="59"/>
      <c r="D87" s="287"/>
      <c r="E87" s="287"/>
      <c r="F87" s="287"/>
      <c r="G87" s="287">
        <v>16264.25</v>
      </c>
      <c r="H87" s="301"/>
    </row>
    <row r="88" spans="1:8" x14ac:dyDescent="0.2">
      <c r="A88" s="302">
        <v>44866</v>
      </c>
      <c r="B88" s="301"/>
      <c r="C88" s="59"/>
      <c r="D88" s="287"/>
      <c r="E88" s="287"/>
      <c r="F88" s="287"/>
      <c r="G88" s="287">
        <v>11285.98</v>
      </c>
      <c r="H88" s="301"/>
    </row>
    <row r="89" spans="1:8" x14ac:dyDescent="0.2">
      <c r="A89" s="302">
        <v>44896</v>
      </c>
      <c r="B89" s="301"/>
      <c r="C89" s="59"/>
      <c r="D89" s="287"/>
      <c r="E89" s="287"/>
      <c r="F89" s="287"/>
      <c r="G89" s="287">
        <v>6885.58</v>
      </c>
      <c r="H89" s="301"/>
    </row>
    <row r="90" spans="1:8" x14ac:dyDescent="0.2">
      <c r="A90" s="302">
        <v>44927</v>
      </c>
      <c r="B90" s="301"/>
      <c r="C90" s="59"/>
      <c r="D90" s="301"/>
      <c r="E90" s="287"/>
      <c r="F90" s="287"/>
      <c r="G90" s="287"/>
      <c r="H90" s="301"/>
    </row>
    <row r="91" spans="1:8" x14ac:dyDescent="0.2">
      <c r="A91" s="302">
        <v>44958</v>
      </c>
      <c r="B91" s="301"/>
      <c r="C91" s="59"/>
      <c r="D91" s="301"/>
      <c r="E91" s="287"/>
      <c r="F91" s="287"/>
      <c r="G91" s="301"/>
      <c r="H91" s="301"/>
    </row>
    <row r="92" spans="1:8" x14ac:dyDescent="0.2">
      <c r="A92" s="302">
        <v>44986</v>
      </c>
      <c r="B92" s="301"/>
      <c r="C92" s="59"/>
      <c r="D92" s="301"/>
      <c r="E92" s="287"/>
      <c r="F92" s="301"/>
      <c r="G92" s="301"/>
      <c r="H92" s="301"/>
    </row>
    <row r="93" spans="1:8" x14ac:dyDescent="0.2">
      <c r="A93" s="302">
        <v>45017</v>
      </c>
      <c r="B93" s="301"/>
      <c r="C93" s="59"/>
      <c r="D93" s="301"/>
      <c r="E93" s="287"/>
      <c r="F93" s="301"/>
      <c r="G93" s="301"/>
      <c r="H93" s="301"/>
    </row>
    <row r="94" spans="1:8" x14ac:dyDescent="0.2">
      <c r="A94" s="302">
        <v>45047</v>
      </c>
      <c r="B94" s="301"/>
      <c r="C94" s="59"/>
      <c r="D94" s="301"/>
      <c r="E94" s="287"/>
      <c r="F94" s="301"/>
      <c r="G94" s="301"/>
      <c r="H94" s="301"/>
    </row>
    <row r="95" spans="1:8" x14ac:dyDescent="0.2">
      <c r="A95" s="302">
        <v>45078</v>
      </c>
      <c r="B95" s="301"/>
      <c r="C95" s="59"/>
      <c r="D95" s="301"/>
      <c r="E95" s="287"/>
      <c r="F95" s="301"/>
      <c r="G95" s="301"/>
      <c r="H95" s="301"/>
    </row>
    <row r="96" spans="1:8" x14ac:dyDescent="0.2">
      <c r="A96" s="302">
        <v>45108</v>
      </c>
      <c r="B96" s="301"/>
      <c r="C96" s="59"/>
      <c r="D96" s="301"/>
      <c r="E96" s="301"/>
      <c r="F96" s="301"/>
      <c r="G96" s="301"/>
      <c r="H96" s="301"/>
    </row>
    <row r="97" spans="1:8" x14ac:dyDescent="0.2">
      <c r="A97" s="302">
        <v>45139</v>
      </c>
      <c r="B97" s="301"/>
      <c r="C97" s="59"/>
      <c r="D97" s="301"/>
      <c r="E97" s="301"/>
      <c r="F97" s="301"/>
      <c r="G97" s="301"/>
      <c r="H97" s="300"/>
    </row>
    <row r="98" spans="1:8" x14ac:dyDescent="0.2">
      <c r="A98" s="302">
        <v>45170</v>
      </c>
      <c r="B98" s="301"/>
      <c r="C98" s="59"/>
      <c r="D98" s="301"/>
      <c r="E98" s="301"/>
      <c r="F98" s="301"/>
      <c r="G98" s="301"/>
      <c r="H98" s="300"/>
    </row>
    <row r="99" spans="1:8" x14ac:dyDescent="0.2">
      <c r="A99" s="302">
        <v>45200</v>
      </c>
      <c r="B99" s="300"/>
      <c r="C99" s="59"/>
      <c r="D99" s="301"/>
      <c r="E99" s="301"/>
      <c r="F99" s="301"/>
      <c r="G99" s="301"/>
      <c r="H99" s="300"/>
    </row>
    <row r="100" spans="1:8" x14ac:dyDescent="0.2">
      <c r="A100" s="302">
        <v>45231</v>
      </c>
      <c r="B100" s="300"/>
      <c r="C100" s="59"/>
      <c r="D100" s="301"/>
      <c r="E100" s="301"/>
      <c r="F100" s="301"/>
      <c r="G100" s="301"/>
      <c r="H100" s="300"/>
    </row>
  </sheetData>
  <mergeCells count="2">
    <mergeCell ref="A31:A32"/>
    <mergeCell ref="J1:L1"/>
  </mergeCells>
  <pageMargins left="0.7" right="0.7" top="0.75" bottom="0.75" header="0.3" footer="0.3"/>
  <pageSetup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8604-10F3-479C-B0B2-4274378A909C}">
  <dimension ref="A1:R64"/>
  <sheetViews>
    <sheetView zoomScale="85" zoomScaleNormal="85" workbookViewId="0">
      <selection activeCell="D9" sqref="D9"/>
    </sheetView>
  </sheetViews>
  <sheetFormatPr defaultColWidth="9.140625" defaultRowHeight="12.75" x14ac:dyDescent="0.2"/>
  <cols>
    <col min="1" max="1" width="9.28515625" style="2" bestFit="1" customWidth="1"/>
    <col min="2" max="2" width="11.7109375" style="2" customWidth="1"/>
    <col min="3" max="3" width="12.5703125" style="2" bestFit="1" customWidth="1"/>
    <col min="4" max="5" width="11.7109375" style="2" customWidth="1"/>
    <col min="6" max="6" width="9.7109375" style="2" bestFit="1" customWidth="1"/>
    <col min="7" max="7" width="15.7109375" style="2" bestFit="1" customWidth="1"/>
    <col min="8" max="8" width="13.140625" style="2" customWidth="1"/>
    <col min="9" max="9" width="12.140625" style="2" customWidth="1"/>
    <col min="10" max="10" width="9.28515625" style="2" bestFit="1" customWidth="1"/>
    <col min="11" max="11" width="8.28515625" style="2" bestFit="1" customWidth="1"/>
    <col min="12" max="12" width="9.140625" style="2"/>
    <col min="13" max="13" width="28.28515625" style="2" bestFit="1" customWidth="1"/>
    <col min="14" max="14" width="17.28515625" style="2" customWidth="1"/>
    <col min="15" max="16384" width="9.140625" style="2"/>
  </cols>
  <sheetData>
    <row r="1" spans="1:18" x14ac:dyDescent="0.2">
      <c r="A1" s="321" t="s">
        <v>1</v>
      </c>
      <c r="B1" s="321" t="s">
        <v>716</v>
      </c>
      <c r="C1" s="321" t="s">
        <v>906</v>
      </c>
      <c r="D1" s="321" t="s">
        <v>907</v>
      </c>
      <c r="E1" s="321"/>
      <c r="H1" s="679" t="s">
        <v>908</v>
      </c>
      <c r="I1" s="679"/>
      <c r="J1" s="170"/>
      <c r="K1" s="170"/>
      <c r="M1" s="5" t="s">
        <v>909</v>
      </c>
      <c r="N1" s="4">
        <v>4550</v>
      </c>
    </row>
    <row r="2" spans="1:18" ht="15" x14ac:dyDescent="0.25">
      <c r="A2" s="100">
        <v>43179</v>
      </c>
      <c r="B2" s="101">
        <v>90000</v>
      </c>
      <c r="C2" s="101">
        <v>20000</v>
      </c>
      <c r="D2" s="15"/>
      <c r="E2" s="101"/>
      <c r="H2" s="5" t="s">
        <v>910</v>
      </c>
      <c r="I2" s="4">
        <v>600000</v>
      </c>
      <c r="M2" s="5" t="s">
        <v>911</v>
      </c>
      <c r="N2" s="4">
        <v>1987.5</v>
      </c>
    </row>
    <row r="3" spans="1:18" x14ac:dyDescent="0.2">
      <c r="A3" s="100"/>
      <c r="B3" s="101"/>
      <c r="C3" s="101">
        <v>-11800</v>
      </c>
      <c r="D3" s="101"/>
      <c r="E3" s="101"/>
      <c r="H3" s="5" t="s">
        <v>7</v>
      </c>
      <c r="I3" s="4">
        <v>0</v>
      </c>
      <c r="M3" s="5" t="s">
        <v>912</v>
      </c>
      <c r="N3" s="4">
        <f>N2*N1</f>
        <v>9043125</v>
      </c>
    </row>
    <row r="4" spans="1:18" x14ac:dyDescent="0.2">
      <c r="A4" s="100"/>
      <c r="B4" s="101"/>
      <c r="C4" s="101">
        <v>-17000</v>
      </c>
      <c r="D4" s="101"/>
      <c r="E4" s="101"/>
      <c r="H4" s="5" t="s">
        <v>380</v>
      </c>
      <c r="I4" s="4">
        <v>60000</v>
      </c>
      <c r="M4" s="5" t="s">
        <v>913</v>
      </c>
      <c r="N4" s="4">
        <f>N2*1800</f>
        <v>3577500</v>
      </c>
    </row>
    <row r="5" spans="1:18" x14ac:dyDescent="0.2">
      <c r="A5" s="100"/>
      <c r="B5" s="101">
        <v>50000</v>
      </c>
      <c r="C5" s="101">
        <v>50000</v>
      </c>
      <c r="D5" s="101"/>
      <c r="E5" s="101"/>
      <c r="H5" s="5" t="s">
        <v>382</v>
      </c>
      <c r="I5" s="4">
        <v>200000</v>
      </c>
      <c r="M5" s="5"/>
      <c r="N5" s="4"/>
    </row>
    <row r="6" spans="1:18" x14ac:dyDescent="0.2">
      <c r="A6" s="100"/>
      <c r="B6" s="101">
        <v>-5000</v>
      </c>
      <c r="C6" s="101">
        <v>-100000</v>
      </c>
      <c r="D6" s="101" t="s">
        <v>914</v>
      </c>
      <c r="E6" s="101"/>
      <c r="H6" s="5" t="s">
        <v>915</v>
      </c>
      <c r="I6" s="4">
        <v>0</v>
      </c>
      <c r="M6" s="5"/>
      <c r="N6" s="4"/>
    </row>
    <row r="7" spans="1:18" x14ac:dyDescent="0.2">
      <c r="A7" s="100"/>
      <c r="B7" s="101">
        <v>68000</v>
      </c>
      <c r="C7" s="101">
        <v>-100000</v>
      </c>
      <c r="D7" s="101" t="s">
        <v>914</v>
      </c>
      <c r="E7" s="101"/>
      <c r="H7" s="4"/>
      <c r="I7" s="4"/>
      <c r="J7" s="3"/>
      <c r="K7" s="3"/>
      <c r="M7" s="5" t="s">
        <v>916</v>
      </c>
      <c r="N7" s="4">
        <v>300000</v>
      </c>
    </row>
    <row r="8" spans="1:18" x14ac:dyDescent="0.2">
      <c r="A8" s="100"/>
      <c r="B8" s="101">
        <v>10000</v>
      </c>
      <c r="C8" s="101">
        <v>-100000</v>
      </c>
      <c r="D8" s="101"/>
      <c r="E8" s="101"/>
      <c r="H8" s="5"/>
      <c r="I8" s="4"/>
      <c r="M8" s="5"/>
      <c r="N8" s="4"/>
    </row>
    <row r="9" spans="1:18" x14ac:dyDescent="0.2">
      <c r="A9" s="100"/>
      <c r="B9" s="101">
        <v>-5000</v>
      </c>
      <c r="C9" s="101">
        <v>-100000</v>
      </c>
      <c r="D9" s="101"/>
      <c r="E9" s="101"/>
      <c r="H9" s="322" t="s">
        <v>18</v>
      </c>
      <c r="I9" s="323">
        <f>SUM(I2:I8)</f>
        <v>860000</v>
      </c>
      <c r="M9" s="5" t="s">
        <v>917</v>
      </c>
      <c r="N9" s="4">
        <f>N7+N3</f>
        <v>9343125</v>
      </c>
    </row>
    <row r="10" spans="1:18" x14ac:dyDescent="0.2">
      <c r="A10" s="100"/>
      <c r="B10" s="101">
        <v>-1000</v>
      </c>
      <c r="C10" s="101"/>
      <c r="D10" s="101"/>
      <c r="E10" s="101"/>
      <c r="M10" s="5" t="s">
        <v>918</v>
      </c>
      <c r="N10" s="4">
        <v>-600000</v>
      </c>
    </row>
    <row r="11" spans="1:18" x14ac:dyDescent="0.2">
      <c r="A11" s="100"/>
      <c r="B11" s="101">
        <v>45000</v>
      </c>
      <c r="C11" s="101"/>
      <c r="D11" s="101"/>
      <c r="E11" s="101"/>
      <c r="M11" s="5" t="s">
        <v>919</v>
      </c>
      <c r="N11" s="4">
        <v>-3000000</v>
      </c>
      <c r="R11" s="2">
        <v>11800</v>
      </c>
    </row>
    <row r="12" spans="1:18" x14ac:dyDescent="0.2">
      <c r="A12" s="100"/>
      <c r="B12" s="101">
        <v>55000</v>
      </c>
      <c r="C12" s="101"/>
      <c r="D12" s="101"/>
      <c r="E12" s="101"/>
      <c r="M12" s="5" t="s">
        <v>920</v>
      </c>
      <c r="N12" s="4">
        <v>-2500000</v>
      </c>
      <c r="P12" s="2">
        <v>1650000</v>
      </c>
      <c r="R12" s="2">
        <v>5000</v>
      </c>
    </row>
    <row r="13" spans="1:18" x14ac:dyDescent="0.2">
      <c r="A13" s="100"/>
      <c r="B13" s="101"/>
      <c r="C13" s="101"/>
      <c r="D13" s="101"/>
      <c r="E13" s="101"/>
      <c r="H13" s="324"/>
      <c r="I13" s="324"/>
      <c r="J13" s="324"/>
      <c r="M13" s="5" t="s">
        <v>921</v>
      </c>
      <c r="N13" s="4">
        <v>-1900000</v>
      </c>
      <c r="P13" s="2">
        <v>-500000</v>
      </c>
      <c r="R13" s="2">
        <v>10000</v>
      </c>
    </row>
    <row r="14" spans="1:18" x14ac:dyDescent="0.2">
      <c r="A14" s="325" t="s">
        <v>0</v>
      </c>
      <c r="B14" s="680">
        <f>SUM(B2:C13)</f>
        <v>-51800</v>
      </c>
      <c r="C14" s="681"/>
      <c r="D14" s="326">
        <f>SUM(D2:D13)</f>
        <v>0</v>
      </c>
      <c r="E14" s="326">
        <f>SUM(E2:E13)</f>
        <v>0</v>
      </c>
      <c r="M14" s="5" t="s">
        <v>922</v>
      </c>
      <c r="N14" s="4">
        <v>-1043125</v>
      </c>
      <c r="P14" s="2">
        <v>-1043125</v>
      </c>
      <c r="R14" s="2">
        <v>22000</v>
      </c>
    </row>
    <row r="15" spans="1:18" x14ac:dyDescent="0.2">
      <c r="M15" s="5"/>
      <c r="N15" s="4"/>
    </row>
    <row r="16" spans="1:18" x14ac:dyDescent="0.2">
      <c r="M16" s="7" t="s">
        <v>923</v>
      </c>
      <c r="N16" s="13">
        <f>N3+SUM(N10:N15)</f>
        <v>0</v>
      </c>
    </row>
    <row r="17" spans="3:18" x14ac:dyDescent="0.2">
      <c r="M17" s="5" t="s">
        <v>924</v>
      </c>
      <c r="N17" s="4">
        <v>500000</v>
      </c>
    </row>
    <row r="18" spans="3:18" x14ac:dyDescent="0.2">
      <c r="M18" s="5" t="s">
        <v>925</v>
      </c>
      <c r="N18" s="4">
        <f>N7</f>
        <v>300000</v>
      </c>
    </row>
    <row r="19" spans="3:18" x14ac:dyDescent="0.2">
      <c r="C19" s="5" t="s">
        <v>926</v>
      </c>
      <c r="D19" s="5">
        <v>2350000</v>
      </c>
      <c r="M19" s="5" t="s">
        <v>927</v>
      </c>
      <c r="N19" s="4">
        <f>1650000+N14-(N17+N18)</f>
        <v>-193125</v>
      </c>
    </row>
    <row r="20" spans="3:18" x14ac:dyDescent="0.2">
      <c r="C20" s="5" t="s">
        <v>928</v>
      </c>
      <c r="D20" s="5">
        <v>-1650000</v>
      </c>
      <c r="G20" s="5" t="s">
        <v>929</v>
      </c>
      <c r="H20" s="4">
        <v>2350000</v>
      </c>
      <c r="I20" s="3">
        <f>H20-H24</f>
        <v>1794000</v>
      </c>
      <c r="M20" s="5"/>
      <c r="N20" s="4"/>
    </row>
    <row r="21" spans="3:18" x14ac:dyDescent="0.2">
      <c r="C21" s="5"/>
      <c r="D21" s="5">
        <v>-200000</v>
      </c>
      <c r="G21" s="5" t="s">
        <v>930</v>
      </c>
      <c r="H21" s="4">
        <v>-500000</v>
      </c>
      <c r="I21" s="2">
        <v>-1650000</v>
      </c>
      <c r="M21" s="5"/>
      <c r="N21" s="4"/>
    </row>
    <row r="22" spans="3:18" x14ac:dyDescent="0.2">
      <c r="C22" s="5"/>
      <c r="D22" s="5">
        <v>-90000</v>
      </c>
      <c r="G22" s="5" t="s">
        <v>931</v>
      </c>
      <c r="H22" s="4">
        <v>-1294000</v>
      </c>
      <c r="M22" s="5"/>
      <c r="N22" s="4"/>
    </row>
    <row r="23" spans="3:18" x14ac:dyDescent="0.2">
      <c r="C23" s="5"/>
      <c r="D23" s="5">
        <v>-10000</v>
      </c>
      <c r="G23" s="5"/>
      <c r="H23" s="4"/>
      <c r="M23" s="5"/>
      <c r="N23" s="4"/>
      <c r="R23" s="2">
        <v>2350000</v>
      </c>
    </row>
    <row r="24" spans="3:18" x14ac:dyDescent="0.2">
      <c r="C24" s="5"/>
      <c r="D24" s="5"/>
      <c r="G24" s="5" t="s">
        <v>0</v>
      </c>
      <c r="H24" s="4">
        <f>SUM(H20:H23)</f>
        <v>556000</v>
      </c>
      <c r="M24" s="5"/>
      <c r="N24" s="4"/>
      <c r="R24" s="2">
        <v>450000</v>
      </c>
    </row>
    <row r="25" spans="3:18" x14ac:dyDescent="0.2">
      <c r="C25" s="5"/>
      <c r="D25" s="5"/>
      <c r="M25" s="5" t="s">
        <v>932</v>
      </c>
      <c r="N25" s="4">
        <f>SUM(N19:N24)</f>
        <v>-193125</v>
      </c>
      <c r="R25" s="2">
        <v>-90000</v>
      </c>
    </row>
    <row r="26" spans="3:18" x14ac:dyDescent="0.2">
      <c r="C26" s="5" t="s">
        <v>0</v>
      </c>
      <c r="D26" s="5">
        <f>SUM(D19:D25)</f>
        <v>400000</v>
      </c>
      <c r="G26" s="2" t="s">
        <v>933</v>
      </c>
      <c r="H26" s="2">
        <v>-275000</v>
      </c>
      <c r="R26" s="2">
        <v>-2200000</v>
      </c>
    </row>
    <row r="27" spans="3:18" x14ac:dyDescent="0.2">
      <c r="G27" s="2" t="s">
        <v>934</v>
      </c>
      <c r="H27" s="2">
        <v>-225000</v>
      </c>
      <c r="J27" s="2">
        <v>2671.91</v>
      </c>
      <c r="K27" s="2">
        <f>J27*0.75/100</f>
        <v>20.039324999999998</v>
      </c>
    </row>
    <row r="28" spans="3:18" x14ac:dyDescent="0.2">
      <c r="J28" s="2">
        <f>J27*1/100</f>
        <v>26.719099999999997</v>
      </c>
    </row>
    <row r="29" spans="3:18" x14ac:dyDescent="0.2">
      <c r="J29" s="2">
        <f>J28*18/100</f>
        <v>4.8094379999999992</v>
      </c>
      <c r="N29" s="682" t="s">
        <v>935</v>
      </c>
      <c r="O29" s="682"/>
    </row>
    <row r="30" spans="3:18" x14ac:dyDescent="0.2">
      <c r="C30" s="2">
        <v>-2703.44</v>
      </c>
      <c r="J30" s="2">
        <v>2703.44</v>
      </c>
      <c r="N30" s="5" t="s">
        <v>252</v>
      </c>
      <c r="O30" s="5" t="s">
        <v>936</v>
      </c>
    </row>
    <row r="31" spans="3:18" x14ac:dyDescent="0.2">
      <c r="C31" s="2">
        <f>-C30*1/100</f>
        <v>27.034400000000002</v>
      </c>
      <c r="J31" s="2">
        <v>-20.04</v>
      </c>
      <c r="N31" s="5">
        <v>5000</v>
      </c>
      <c r="O31" s="5">
        <v>140000</v>
      </c>
    </row>
    <row r="32" spans="3:18" x14ac:dyDescent="0.2">
      <c r="C32" s="2">
        <v>4.82</v>
      </c>
      <c r="J32" s="2">
        <v>-26.76</v>
      </c>
      <c r="N32" s="5"/>
      <c r="O32" s="5">
        <v>25000</v>
      </c>
    </row>
    <row r="33" spans="2:15" x14ac:dyDescent="0.2">
      <c r="C33" s="2">
        <f>-C30*0.75/100</f>
        <v>20.2758</v>
      </c>
      <c r="J33" s="2">
        <v>-4.82</v>
      </c>
      <c r="N33" s="5"/>
      <c r="O33" s="5">
        <v>25000</v>
      </c>
    </row>
    <row r="34" spans="2:15" x14ac:dyDescent="0.2">
      <c r="N34" s="5"/>
      <c r="O34" s="5">
        <v>150000</v>
      </c>
    </row>
    <row r="35" spans="2:15" x14ac:dyDescent="0.2">
      <c r="N35" s="5"/>
      <c r="O35" s="5"/>
    </row>
    <row r="36" spans="2:15" x14ac:dyDescent="0.2">
      <c r="G36" s="2" t="s">
        <v>937</v>
      </c>
      <c r="H36" s="2">
        <v>110000</v>
      </c>
      <c r="N36" s="5"/>
      <c r="O36" s="5"/>
    </row>
    <row r="37" spans="2:15" x14ac:dyDescent="0.2">
      <c r="B37" s="2" t="s">
        <v>19</v>
      </c>
      <c r="C37" s="2">
        <v>175200</v>
      </c>
      <c r="G37" s="2" t="s">
        <v>938</v>
      </c>
      <c r="H37" s="2">
        <v>24000</v>
      </c>
      <c r="N37" s="5"/>
      <c r="O37" s="5"/>
    </row>
    <row r="38" spans="2:15" x14ac:dyDescent="0.2">
      <c r="B38" s="2" t="s">
        <v>802</v>
      </c>
      <c r="C38" s="2">
        <v>350000</v>
      </c>
      <c r="G38" s="2" t="s">
        <v>939</v>
      </c>
      <c r="H38" s="2">
        <v>10000</v>
      </c>
      <c r="N38" s="5"/>
      <c r="O38" s="5"/>
    </row>
    <row r="39" spans="2:15" x14ac:dyDescent="0.2">
      <c r="G39" s="2" t="s">
        <v>940</v>
      </c>
      <c r="H39" s="2">
        <v>10000</v>
      </c>
      <c r="N39" s="5"/>
      <c r="O39" s="5"/>
    </row>
    <row r="40" spans="2:15" x14ac:dyDescent="0.2">
      <c r="G40" s="2" t="s">
        <v>941</v>
      </c>
      <c r="H40" s="2">
        <v>30000</v>
      </c>
    </row>
    <row r="55" spans="5:6" x14ac:dyDescent="0.2">
      <c r="E55" s="8" t="s">
        <v>808</v>
      </c>
      <c r="F55" s="9">
        <v>-200000</v>
      </c>
    </row>
    <row r="56" spans="5:6" x14ac:dyDescent="0.2">
      <c r="E56" s="5" t="s">
        <v>942</v>
      </c>
      <c r="F56" s="4">
        <v>35000</v>
      </c>
    </row>
    <row r="57" spans="5:6" x14ac:dyDescent="0.2">
      <c r="E57" s="5"/>
      <c r="F57" s="4"/>
    </row>
    <row r="58" spans="5:6" x14ac:dyDescent="0.2">
      <c r="E58" s="5"/>
      <c r="F58" s="4"/>
    </row>
    <row r="59" spans="5:6" x14ac:dyDescent="0.2">
      <c r="E59" s="5"/>
      <c r="F59" s="4"/>
    </row>
    <row r="60" spans="5:6" x14ac:dyDescent="0.2">
      <c r="E60" s="5"/>
      <c r="F60" s="4"/>
    </row>
    <row r="61" spans="5:6" x14ac:dyDescent="0.2">
      <c r="E61" s="5"/>
      <c r="F61" s="4"/>
    </row>
    <row r="62" spans="5:6" x14ac:dyDescent="0.2">
      <c r="E62" s="5"/>
      <c r="F62" s="4"/>
    </row>
    <row r="63" spans="5:6" x14ac:dyDescent="0.2">
      <c r="E63" s="5"/>
      <c r="F63" s="4"/>
    </row>
    <row r="64" spans="5:6" x14ac:dyDescent="0.2">
      <c r="E64" s="8" t="s">
        <v>0</v>
      </c>
      <c r="F64" s="9">
        <f>SUM(F55:F63)</f>
        <v>-165000</v>
      </c>
    </row>
  </sheetData>
  <mergeCells count="3">
    <mergeCell ref="H1:I1"/>
    <mergeCell ref="B14:C14"/>
    <mergeCell ref="N29:O29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7"/>
  <dimension ref="A1:O38"/>
  <sheetViews>
    <sheetView zoomScaleNormal="100" workbookViewId="0">
      <pane ySplit="1" topLeftCell="A12" activePane="bottomLeft" state="frozen"/>
      <selection pane="bottomLeft" activeCell="A28" sqref="A28"/>
    </sheetView>
  </sheetViews>
  <sheetFormatPr defaultColWidth="9.140625" defaultRowHeight="12.75" x14ac:dyDescent="0.2"/>
  <cols>
    <col min="1" max="1" width="20.140625" style="2" bestFit="1" customWidth="1"/>
    <col min="2" max="2" width="43" style="2" bestFit="1" customWidth="1"/>
    <col min="3" max="3" width="20.140625" style="2" bestFit="1" customWidth="1"/>
    <col min="4" max="4" width="15.140625" style="2" bestFit="1" customWidth="1"/>
    <col min="5" max="5" width="9.5703125" style="2" bestFit="1" customWidth="1"/>
    <col min="6" max="6" width="5" style="2" bestFit="1" customWidth="1"/>
    <col min="7" max="7" width="10.42578125" style="2" bestFit="1" customWidth="1"/>
    <col min="8" max="8" width="17.7109375" style="2" bestFit="1" customWidth="1"/>
    <col min="9" max="9" width="19.42578125" style="2" bestFit="1" customWidth="1"/>
    <col min="10" max="10" width="11.140625" style="2" bestFit="1" customWidth="1"/>
    <col min="11" max="11" width="5.140625" style="2" bestFit="1" customWidth="1"/>
    <col min="12" max="12" width="8.28515625" style="2" bestFit="1" customWidth="1"/>
    <col min="13" max="13" width="9.140625" style="2" bestFit="1" customWidth="1"/>
    <col min="14" max="14" width="15.85546875" style="2" bestFit="1" customWidth="1"/>
    <col min="15" max="15" width="14.42578125" style="2" bestFit="1" customWidth="1"/>
    <col min="16" max="16" width="9.5703125" style="2" bestFit="1" customWidth="1"/>
    <col min="17" max="17" width="15.7109375" style="2" bestFit="1" customWidth="1"/>
    <col min="18" max="18" width="18.140625" style="2" bestFit="1" customWidth="1"/>
    <col min="19" max="19" width="15.7109375" style="2" bestFit="1" customWidth="1"/>
    <col min="20" max="16384" width="9.140625" style="2"/>
  </cols>
  <sheetData>
    <row r="1" spans="1:15" x14ac:dyDescent="0.2">
      <c r="A1" s="6" t="s">
        <v>622</v>
      </c>
      <c r="B1" s="6" t="s">
        <v>943</v>
      </c>
      <c r="C1" s="6" t="s">
        <v>944</v>
      </c>
      <c r="D1" s="214" t="s">
        <v>945</v>
      </c>
      <c r="E1" s="100"/>
      <c r="F1" s="215"/>
    </row>
    <row r="2" spans="1:15" x14ac:dyDescent="0.2">
      <c r="A2" s="5" t="s">
        <v>744</v>
      </c>
      <c r="B2" s="95" t="s">
        <v>946</v>
      </c>
      <c r="C2" s="5" t="s">
        <v>947</v>
      </c>
      <c r="D2" s="216"/>
      <c r="E2" s="100"/>
      <c r="F2" s="215"/>
      <c r="J2" s="683"/>
      <c r="K2" s="683"/>
      <c r="L2" s="683"/>
      <c r="M2" s="683"/>
      <c r="N2" s="683"/>
      <c r="O2" s="683"/>
    </row>
    <row r="3" spans="1:15" x14ac:dyDescent="0.2">
      <c r="A3" s="5" t="s">
        <v>550</v>
      </c>
      <c r="B3" s="95">
        <v>53248534</v>
      </c>
      <c r="C3" s="5" t="s">
        <v>948</v>
      </c>
      <c r="D3" s="216" t="s">
        <v>949</v>
      </c>
      <c r="E3" s="100">
        <v>45006</v>
      </c>
      <c r="F3" s="215"/>
      <c r="H3" s="2" t="s">
        <v>950</v>
      </c>
    </row>
    <row r="4" spans="1:15" x14ac:dyDescent="0.2">
      <c r="A4" s="5" t="s">
        <v>951</v>
      </c>
      <c r="B4" s="95">
        <v>32505815</v>
      </c>
      <c r="C4" s="5" t="s">
        <v>952</v>
      </c>
      <c r="D4" s="216" t="s">
        <v>948</v>
      </c>
      <c r="E4" s="100">
        <v>45433</v>
      </c>
      <c r="F4" s="215"/>
      <c r="J4" s="217"/>
      <c r="K4" s="218"/>
      <c r="L4" s="218"/>
      <c r="M4" s="218"/>
      <c r="N4" s="218"/>
      <c r="O4" s="218"/>
    </row>
    <row r="5" spans="1:15" x14ac:dyDescent="0.2">
      <c r="A5" s="5" t="s">
        <v>953</v>
      </c>
      <c r="B5" s="95" t="s">
        <v>954</v>
      </c>
      <c r="C5" s="5" t="s">
        <v>955</v>
      </c>
      <c r="D5" s="216"/>
      <c r="E5" s="100"/>
      <c r="F5" s="215"/>
      <c r="M5" s="218"/>
      <c r="N5" s="218"/>
      <c r="O5" s="218"/>
    </row>
    <row r="6" spans="1:15" x14ac:dyDescent="0.2">
      <c r="A6" s="5" t="s">
        <v>953</v>
      </c>
      <c r="B6" s="95" t="s">
        <v>956</v>
      </c>
      <c r="C6" s="5" t="s">
        <v>955</v>
      </c>
      <c r="D6" s="216"/>
      <c r="E6" s="100"/>
      <c r="F6" s="215"/>
      <c r="G6" s="2" t="s">
        <v>957</v>
      </c>
      <c r="H6" s="2" t="s">
        <v>958</v>
      </c>
      <c r="M6" s="218"/>
      <c r="N6" s="218"/>
      <c r="O6" s="218"/>
    </row>
    <row r="7" spans="1:15" x14ac:dyDescent="0.2">
      <c r="A7" s="5" t="s">
        <v>959</v>
      </c>
      <c r="B7" s="95" t="s">
        <v>960</v>
      </c>
      <c r="C7" s="5" t="s">
        <v>961</v>
      </c>
      <c r="D7" s="216"/>
      <c r="E7" s="100"/>
      <c r="F7" s="215"/>
      <c r="M7" s="218"/>
      <c r="N7" s="218"/>
      <c r="O7" s="218"/>
    </row>
    <row r="8" spans="1:15" x14ac:dyDescent="0.2">
      <c r="A8" s="5" t="s">
        <v>253</v>
      </c>
      <c r="B8" s="95" t="s">
        <v>962</v>
      </c>
      <c r="C8" s="5" t="s">
        <v>963</v>
      </c>
      <c r="D8" s="216"/>
      <c r="E8" s="100"/>
      <c r="F8" s="215"/>
      <c r="M8" s="218"/>
      <c r="N8" s="218"/>
      <c r="O8" s="218"/>
    </row>
    <row r="9" spans="1:15" x14ac:dyDescent="0.2">
      <c r="A9" s="5" t="s">
        <v>964</v>
      </c>
      <c r="B9" s="95">
        <v>8886552227</v>
      </c>
      <c r="C9" s="5" t="s">
        <v>965</v>
      </c>
      <c r="D9" s="216"/>
      <c r="E9" s="100"/>
      <c r="F9" s="215"/>
      <c r="I9" s="2">
        <v>55118540</v>
      </c>
      <c r="M9" s="218"/>
      <c r="N9" s="218"/>
      <c r="O9" s="218"/>
    </row>
    <row r="10" spans="1:15" x14ac:dyDescent="0.2">
      <c r="A10" s="5" t="s">
        <v>966</v>
      </c>
      <c r="B10" s="95">
        <v>114054605</v>
      </c>
      <c r="C10" s="5" t="s">
        <v>967</v>
      </c>
      <c r="D10" s="216"/>
      <c r="E10" s="100">
        <v>44977</v>
      </c>
      <c r="F10" s="219">
        <v>9111</v>
      </c>
      <c r="M10" s="218"/>
      <c r="N10" s="218"/>
      <c r="O10" s="218"/>
    </row>
    <row r="11" spans="1:15" x14ac:dyDescent="0.2">
      <c r="A11" s="5" t="s">
        <v>968</v>
      </c>
      <c r="B11" s="95" t="s">
        <v>962</v>
      </c>
      <c r="C11" s="5" t="s">
        <v>969</v>
      </c>
      <c r="D11" s="216"/>
      <c r="E11" s="100">
        <v>44275</v>
      </c>
      <c r="F11" s="215"/>
    </row>
    <row r="12" spans="1:15" x14ac:dyDescent="0.2">
      <c r="A12" s="5" t="s">
        <v>970</v>
      </c>
      <c r="B12" s="95" t="s">
        <v>971</v>
      </c>
      <c r="C12" s="5" t="s">
        <v>961</v>
      </c>
      <c r="D12" s="216"/>
      <c r="E12" s="100"/>
      <c r="F12" s="215"/>
    </row>
    <row r="13" spans="1:15" x14ac:dyDescent="0.2">
      <c r="A13" s="5" t="s">
        <v>248</v>
      </c>
      <c r="B13" s="95" t="s">
        <v>962</v>
      </c>
      <c r="C13" s="5" t="s">
        <v>972</v>
      </c>
      <c r="D13" s="216"/>
      <c r="E13" s="100"/>
      <c r="F13" s="215"/>
      <c r="H13" s="2">
        <v>602245264</v>
      </c>
    </row>
    <row r="14" spans="1:15" x14ac:dyDescent="0.2">
      <c r="A14" s="5" t="s">
        <v>973</v>
      </c>
      <c r="B14" s="95" t="s">
        <v>962</v>
      </c>
      <c r="C14" s="5" t="s">
        <v>948</v>
      </c>
      <c r="D14" s="216"/>
      <c r="E14" s="100">
        <v>43787</v>
      </c>
      <c r="F14" s="215"/>
    </row>
    <row r="15" spans="1:15" x14ac:dyDescent="0.2">
      <c r="A15" s="5" t="s">
        <v>974</v>
      </c>
      <c r="B15" s="95" t="s">
        <v>975</v>
      </c>
      <c r="C15" s="5" t="s">
        <v>976</v>
      </c>
      <c r="D15" s="216"/>
      <c r="E15" s="100">
        <v>45104</v>
      </c>
      <c r="F15" s="215"/>
      <c r="I15" s="2" t="s">
        <v>977</v>
      </c>
    </row>
    <row r="16" spans="1:15" x14ac:dyDescent="0.2">
      <c r="A16" s="5" t="s">
        <v>974</v>
      </c>
      <c r="B16" s="95" t="s">
        <v>978</v>
      </c>
      <c r="C16" s="5" t="s">
        <v>979</v>
      </c>
      <c r="D16" s="216"/>
      <c r="E16" s="100"/>
      <c r="F16" s="215"/>
    </row>
    <row r="17" spans="1:15" x14ac:dyDescent="0.2">
      <c r="A17" s="5" t="s">
        <v>980</v>
      </c>
      <c r="B17" s="95" t="s">
        <v>975</v>
      </c>
      <c r="C17" s="5" t="s">
        <v>981</v>
      </c>
      <c r="D17" s="216"/>
      <c r="E17" s="100">
        <v>45104</v>
      </c>
      <c r="F17" s="215"/>
      <c r="I17" s="2" t="s">
        <v>982</v>
      </c>
    </row>
    <row r="18" spans="1:15" x14ac:dyDescent="0.2">
      <c r="A18" s="5" t="s">
        <v>983</v>
      </c>
      <c r="B18" s="95" t="s">
        <v>962</v>
      </c>
      <c r="C18" s="5" t="s">
        <v>984</v>
      </c>
      <c r="D18" s="216"/>
      <c r="E18" s="100">
        <v>43586</v>
      </c>
      <c r="F18" s="215"/>
    </row>
    <row r="19" spans="1:15" x14ac:dyDescent="0.2">
      <c r="A19" s="5" t="s">
        <v>985</v>
      </c>
      <c r="B19" s="5" t="s">
        <v>986</v>
      </c>
      <c r="C19" s="5" t="s">
        <v>987</v>
      </c>
      <c r="D19" s="216"/>
      <c r="E19" s="100">
        <v>45449</v>
      </c>
      <c r="F19" s="215"/>
    </row>
    <row r="20" spans="1:15" ht="15" x14ac:dyDescent="0.25">
      <c r="A20" s="5" t="s">
        <v>988</v>
      </c>
      <c r="B20" s="95" t="s">
        <v>989</v>
      </c>
      <c r="C20" s="518" t="s">
        <v>972</v>
      </c>
      <c r="D20" s="5" t="s">
        <v>990</v>
      </c>
      <c r="E20" s="100">
        <v>45565</v>
      </c>
      <c r="F20" s="215"/>
    </row>
    <row r="21" spans="1:15" x14ac:dyDescent="0.2">
      <c r="A21" s="5" t="s">
        <v>991</v>
      </c>
      <c r="B21" s="95" t="s">
        <v>962</v>
      </c>
      <c r="C21" s="5" t="s">
        <v>992</v>
      </c>
      <c r="D21" s="216"/>
      <c r="E21" s="100">
        <v>45132</v>
      </c>
      <c r="F21" s="215"/>
    </row>
    <row r="22" spans="1:15" ht="15" x14ac:dyDescent="0.25">
      <c r="A22" s="5" t="s">
        <v>993</v>
      </c>
      <c r="B22" s="95" t="s">
        <v>994</v>
      </c>
      <c r="C22" s="518" t="s">
        <v>987</v>
      </c>
      <c r="D22" s="525" t="s">
        <v>990</v>
      </c>
      <c r="E22" s="100">
        <v>45435</v>
      </c>
      <c r="F22" s="215"/>
    </row>
    <row r="23" spans="1:15" x14ac:dyDescent="0.2">
      <c r="A23" s="5" t="s">
        <v>995</v>
      </c>
      <c r="B23" s="95" t="s">
        <v>996</v>
      </c>
      <c r="C23" s="5" t="s">
        <v>997</v>
      </c>
      <c r="D23" s="216" t="s">
        <v>955</v>
      </c>
      <c r="E23" s="100">
        <v>43874</v>
      </c>
      <c r="F23" s="215"/>
    </row>
    <row r="24" spans="1:15" ht="15" x14ac:dyDescent="0.25">
      <c r="A24" s="5" t="s">
        <v>998</v>
      </c>
      <c r="B24" s="95" t="s">
        <v>999</v>
      </c>
      <c r="C24" s="518" t="s">
        <v>1524</v>
      </c>
      <c r="D24" s="216" t="s">
        <v>1000</v>
      </c>
      <c r="E24" s="220">
        <v>45547</v>
      </c>
      <c r="F24" s="215"/>
    </row>
    <row r="25" spans="1:15" x14ac:dyDescent="0.2">
      <c r="A25" s="5" t="s">
        <v>914</v>
      </c>
      <c r="B25" s="95" t="s">
        <v>962</v>
      </c>
      <c r="C25" s="5" t="s">
        <v>955</v>
      </c>
      <c r="D25" s="216"/>
      <c r="E25" s="220"/>
      <c r="F25" s="215"/>
    </row>
    <row r="26" spans="1:15" x14ac:dyDescent="0.2">
      <c r="A26" s="5" t="s">
        <v>1001</v>
      </c>
      <c r="B26" s="5">
        <v>2748902</v>
      </c>
      <c r="C26" s="5" t="s">
        <v>1002</v>
      </c>
      <c r="D26" s="216"/>
      <c r="E26" s="220"/>
      <c r="F26" s="221"/>
      <c r="G26" s="222" t="s">
        <v>1003</v>
      </c>
      <c r="H26" s="6" t="s">
        <v>1004</v>
      </c>
      <c r="I26" s="6" t="s">
        <v>1005</v>
      </c>
      <c r="J26" s="6" t="s">
        <v>1006</v>
      </c>
      <c r="K26" s="6" t="s">
        <v>1007</v>
      </c>
      <c r="L26" s="6" t="s">
        <v>1008</v>
      </c>
      <c r="M26" s="6" t="s">
        <v>1009</v>
      </c>
      <c r="N26" s="6" t="s">
        <v>1010</v>
      </c>
      <c r="O26" s="6" t="s">
        <v>1011</v>
      </c>
    </row>
    <row r="27" spans="1:15" ht="25.5" x14ac:dyDescent="0.2">
      <c r="A27" s="5" t="s">
        <v>1012</v>
      </c>
      <c r="B27" s="95" t="s">
        <v>962</v>
      </c>
      <c r="C27" s="5" t="s">
        <v>958</v>
      </c>
      <c r="D27" s="216" t="s">
        <v>1013</v>
      </c>
      <c r="E27" s="220"/>
      <c r="F27" s="221"/>
      <c r="G27" s="223">
        <v>603046802</v>
      </c>
      <c r="H27" s="224" t="s">
        <v>1014</v>
      </c>
      <c r="I27" s="5" t="s">
        <v>1015</v>
      </c>
      <c r="J27" s="5">
        <v>100000</v>
      </c>
      <c r="K27" s="5">
        <v>25</v>
      </c>
      <c r="L27" s="5">
        <v>5146</v>
      </c>
      <c r="M27" s="5" t="s">
        <v>1016</v>
      </c>
      <c r="N27" s="225">
        <v>39719</v>
      </c>
      <c r="O27" s="225">
        <v>48850</v>
      </c>
    </row>
    <row r="28" spans="1:15" ht="26.25" x14ac:dyDescent="0.25">
      <c r="A28" s="5" t="s">
        <v>1017</v>
      </c>
      <c r="B28" s="226" t="s">
        <v>1018</v>
      </c>
      <c r="C28" s="518" t="s">
        <v>952</v>
      </c>
      <c r="D28" s="216"/>
      <c r="E28" s="220">
        <v>44958</v>
      </c>
      <c r="F28" s="221"/>
      <c r="G28" s="223">
        <v>645866576</v>
      </c>
      <c r="H28" s="224" t="s">
        <v>1019</v>
      </c>
      <c r="I28" s="5" t="s">
        <v>1020</v>
      </c>
      <c r="J28" s="5">
        <v>100000</v>
      </c>
      <c r="K28" s="5">
        <v>20</v>
      </c>
      <c r="L28" s="5">
        <v>6210</v>
      </c>
      <c r="M28" s="5" t="s">
        <v>1016</v>
      </c>
      <c r="N28" s="225">
        <v>39580</v>
      </c>
      <c r="O28" s="225">
        <v>46885</v>
      </c>
    </row>
    <row r="29" spans="1:15" ht="25.5" x14ac:dyDescent="0.2">
      <c r="A29" s="5" t="s">
        <v>1021</v>
      </c>
      <c r="B29" s="5" t="s">
        <v>1022</v>
      </c>
      <c r="C29" s="5" t="s">
        <v>948</v>
      </c>
      <c r="D29" s="216"/>
      <c r="E29" s="220">
        <v>45569</v>
      </c>
      <c r="F29" s="221"/>
      <c r="G29" s="223">
        <v>717734940</v>
      </c>
      <c r="H29" s="224" t="s">
        <v>1023</v>
      </c>
      <c r="I29" s="5" t="s">
        <v>519</v>
      </c>
      <c r="J29" s="5">
        <v>30000</v>
      </c>
      <c r="K29" s="5">
        <v>22</v>
      </c>
      <c r="L29" s="5">
        <v>356</v>
      </c>
      <c r="M29" s="5" t="s">
        <v>1024</v>
      </c>
      <c r="N29" s="225">
        <v>39046</v>
      </c>
      <c r="O29" s="225">
        <v>47082</v>
      </c>
    </row>
    <row r="30" spans="1:15" ht="25.5" x14ac:dyDescent="0.2">
      <c r="A30" s="5" t="s">
        <v>1025</v>
      </c>
      <c r="B30" s="5" t="s">
        <v>1026</v>
      </c>
      <c r="C30" s="5" t="s">
        <v>965</v>
      </c>
      <c r="D30" s="684" t="s">
        <v>1027</v>
      </c>
      <c r="E30" s="685"/>
      <c r="F30" s="221"/>
      <c r="G30" s="223">
        <v>644534231</v>
      </c>
      <c r="H30" s="224" t="s">
        <v>1028</v>
      </c>
      <c r="I30" s="5" t="s">
        <v>519</v>
      </c>
      <c r="J30" s="5">
        <v>50000</v>
      </c>
      <c r="K30" s="5">
        <v>25</v>
      </c>
      <c r="L30" s="5">
        <v>508</v>
      </c>
      <c r="M30" s="5" t="s">
        <v>1024</v>
      </c>
      <c r="N30" s="225">
        <v>38045</v>
      </c>
      <c r="O30" s="225">
        <v>47177</v>
      </c>
    </row>
    <row r="31" spans="1:15" ht="25.5" x14ac:dyDescent="0.2">
      <c r="A31" s="5" t="s">
        <v>1029</v>
      </c>
      <c r="B31" s="5">
        <v>888655227</v>
      </c>
      <c r="C31" s="5" t="s">
        <v>969</v>
      </c>
      <c r="D31" s="216"/>
      <c r="E31" s="220">
        <v>45569</v>
      </c>
      <c r="F31" s="221"/>
      <c r="G31" s="495">
        <v>644523583</v>
      </c>
      <c r="H31" s="496" t="s">
        <v>1019</v>
      </c>
      <c r="I31" s="7" t="s">
        <v>1030</v>
      </c>
      <c r="J31" s="7">
        <v>40000</v>
      </c>
      <c r="K31" s="7">
        <v>20</v>
      </c>
      <c r="L31" s="7">
        <v>650</v>
      </c>
      <c r="M31" s="7" t="s">
        <v>1024</v>
      </c>
      <c r="N31" s="497">
        <v>37343</v>
      </c>
      <c r="O31" s="497">
        <v>44648</v>
      </c>
    </row>
    <row r="32" spans="1:15" x14ac:dyDescent="0.2">
      <c r="A32" s="5" t="s">
        <v>1031</v>
      </c>
      <c r="B32" s="5" t="s">
        <v>1032</v>
      </c>
      <c r="C32" s="5" t="s">
        <v>1033</v>
      </c>
      <c r="D32" s="5"/>
      <c r="E32" s="100"/>
      <c r="F32" s="215"/>
    </row>
    <row r="33" spans="1:6" x14ac:dyDescent="0.2">
      <c r="A33" s="5" t="s">
        <v>1034</v>
      </c>
      <c r="B33" s="5" t="s">
        <v>1035</v>
      </c>
      <c r="C33" s="5" t="s">
        <v>949</v>
      </c>
      <c r="D33" s="216"/>
      <c r="E33" s="227">
        <v>45110</v>
      </c>
      <c r="F33" s="215"/>
    </row>
    <row r="34" spans="1:6" x14ac:dyDescent="0.2">
      <c r="A34" s="5" t="s">
        <v>1036</v>
      </c>
      <c r="B34" s="5" t="s">
        <v>1037</v>
      </c>
      <c r="C34" s="20" t="s">
        <v>952</v>
      </c>
      <c r="D34" s="216"/>
      <c r="E34" s="100">
        <v>44454</v>
      </c>
      <c r="F34" s="215"/>
    </row>
    <row r="35" spans="1:6" x14ac:dyDescent="0.2">
      <c r="A35" s="5" t="s">
        <v>1038</v>
      </c>
      <c r="B35" s="5" t="s">
        <v>1039</v>
      </c>
      <c r="C35" s="5" t="s">
        <v>1040</v>
      </c>
      <c r="D35" s="216"/>
      <c r="E35" s="100">
        <v>44775</v>
      </c>
      <c r="F35" s="215"/>
    </row>
    <row r="36" spans="1:6" x14ac:dyDescent="0.2">
      <c r="A36" s="5" t="s">
        <v>1041</v>
      </c>
      <c r="B36" s="5" t="s">
        <v>960</v>
      </c>
      <c r="C36" s="5" t="s">
        <v>1042</v>
      </c>
      <c r="D36" s="5"/>
      <c r="E36" s="5"/>
      <c r="F36" s="215"/>
    </row>
    <row r="37" spans="1:6" x14ac:dyDescent="0.2">
      <c r="A37" s="5" t="s">
        <v>1043</v>
      </c>
      <c r="B37" s="5">
        <v>55118540</v>
      </c>
      <c r="C37" s="5" t="s">
        <v>948</v>
      </c>
      <c r="D37" s="5" t="s">
        <v>979</v>
      </c>
      <c r="E37" s="243">
        <v>44627</v>
      </c>
      <c r="F37" s="215"/>
    </row>
    <row r="38" spans="1:6" x14ac:dyDescent="0.2">
      <c r="A38" s="5" t="s">
        <v>1044</v>
      </c>
      <c r="B38" s="5" t="s">
        <v>1045</v>
      </c>
      <c r="C38" s="5" t="s">
        <v>1046</v>
      </c>
      <c r="D38" s="5"/>
      <c r="E38" s="5"/>
    </row>
  </sheetData>
  <sortState xmlns:xlrd2="http://schemas.microsoft.com/office/spreadsheetml/2017/richdata2" ref="A2:D27">
    <sortCondition ref="A2:A27"/>
  </sortState>
  <mergeCells count="2">
    <mergeCell ref="J2:O2"/>
    <mergeCell ref="D30:E30"/>
  </mergeCells>
  <hyperlinks>
    <hyperlink ref="C18" r:id="rId1" xr:uid="{AF085F99-4E71-4773-AD83-DA7939E48BED}"/>
    <hyperlink ref="C34" r:id="rId2" display="Divakar@1984#" xr:uid="{29C1BB79-8974-4F3E-A00E-5CD5E7D20D2D}"/>
    <hyperlink ref="C10" r:id="rId3" xr:uid="{9011B4C0-F961-4B2A-9F6A-E259DCB71401}"/>
    <hyperlink ref="C28" r:id="rId4" xr:uid="{4628989D-D298-43CE-A6A2-682C849A72DE}"/>
    <hyperlink ref="D22" r:id="rId5" xr:uid="{6EBE2FC9-BC41-477D-84B9-14C26663CE8B}"/>
    <hyperlink ref="C22" r:id="rId6" xr:uid="{3AF2B9C2-6DF2-4C3B-B582-E85DE8B3AB00}"/>
    <hyperlink ref="C24" r:id="rId7" xr:uid="{0D99AA27-C833-4877-A44A-5E1699B1D0EC}"/>
    <hyperlink ref="C20" r:id="rId8" xr:uid="{8B71E08D-57FB-40C8-98E8-8547E9B85E23}"/>
  </hyperlinks>
  <pageMargins left="0.7" right="0.7" top="0.75" bottom="0.75" header="0.3" footer="0.3"/>
  <pageSetup orientation="portrait" r:id="rId9"/>
  <legacyDrawing r:id="rId1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FFE9-7486-4FA4-A73E-69ADD46D7E5B}">
  <dimension ref="A1:Z20"/>
  <sheetViews>
    <sheetView topLeftCell="B1" zoomScaleNormal="100" workbookViewId="0">
      <selection activeCell="N15" sqref="N15"/>
    </sheetView>
  </sheetViews>
  <sheetFormatPr defaultRowHeight="15.75" x14ac:dyDescent="0.25"/>
  <cols>
    <col min="1" max="1" width="13.7109375" style="395" bestFit="1" customWidth="1"/>
    <col min="2" max="3" width="9.85546875" style="395" bestFit="1" customWidth="1"/>
    <col min="4" max="4" width="9.140625" style="395"/>
    <col min="5" max="5" width="9.28515625" style="395" bestFit="1" customWidth="1"/>
    <col min="6" max="6" width="9.85546875" style="395" bestFit="1" customWidth="1"/>
    <col min="7" max="11" width="9.140625" style="395"/>
    <col min="12" max="12" width="11.7109375" style="395" customWidth="1"/>
    <col min="13" max="14" width="11.28515625" style="395" bestFit="1" customWidth="1"/>
    <col min="15" max="15" width="9.42578125" style="395" customWidth="1"/>
    <col min="16" max="17" width="9.28515625" style="395" bestFit="1" customWidth="1"/>
    <col min="18" max="20" width="9.85546875" style="395" bestFit="1" customWidth="1"/>
    <col min="21" max="21" width="9.28515625" style="395" bestFit="1" customWidth="1"/>
    <col min="22" max="23" width="12.7109375" style="395" customWidth="1"/>
    <col min="24" max="24" width="10.140625" style="395" customWidth="1"/>
    <col min="25" max="26" width="9.28515625" style="395" bestFit="1" customWidth="1"/>
    <col min="27" max="16384" width="9.140625" style="395"/>
  </cols>
  <sheetData>
    <row r="1" spans="1:26" ht="51.75" customHeight="1" x14ac:dyDescent="0.25">
      <c r="A1" s="395" t="s">
        <v>1047</v>
      </c>
      <c r="B1" s="395">
        <f>SUM(B3:B8)</f>
        <v>248038</v>
      </c>
      <c r="C1" s="395">
        <f>SUM(C3:C8)</f>
        <v>327985</v>
      </c>
      <c r="I1" s="515" t="s">
        <v>1048</v>
      </c>
      <c r="J1" s="515" t="s">
        <v>1049</v>
      </c>
      <c r="K1" s="686" t="s">
        <v>1050</v>
      </c>
      <c r="L1" s="686"/>
      <c r="M1" s="515" t="s">
        <v>1047</v>
      </c>
      <c r="N1" s="515" t="s">
        <v>299</v>
      </c>
      <c r="O1" s="515" t="s">
        <v>205</v>
      </c>
      <c r="P1" s="515" t="s">
        <v>203</v>
      </c>
      <c r="Q1" s="515" t="s">
        <v>1051</v>
      </c>
      <c r="R1" s="515" t="s">
        <v>1052</v>
      </c>
      <c r="S1" s="515" t="s">
        <v>1053</v>
      </c>
      <c r="T1" s="515" t="s">
        <v>197</v>
      </c>
      <c r="U1" s="515" t="s">
        <v>1054</v>
      </c>
      <c r="V1" s="515" t="s">
        <v>1055</v>
      </c>
      <c r="W1" s="515" t="s">
        <v>1056</v>
      </c>
      <c r="X1" s="515" t="s">
        <v>195</v>
      </c>
      <c r="Y1" s="515" t="s">
        <v>1057</v>
      </c>
      <c r="Z1" s="515" t="s">
        <v>1049</v>
      </c>
    </row>
    <row r="2" spans="1:26" x14ac:dyDescent="0.25">
      <c r="A2" s="394" t="s">
        <v>1058</v>
      </c>
      <c r="B2" s="394" t="s">
        <v>1059</v>
      </c>
      <c r="C2" s="394" t="s">
        <v>188</v>
      </c>
      <c r="E2" s="395" t="s">
        <v>297</v>
      </c>
      <c r="F2" s="395" t="s">
        <v>1060</v>
      </c>
      <c r="I2" s="394"/>
      <c r="J2" s="394">
        <v>28600</v>
      </c>
      <c r="K2" s="394" t="s">
        <v>564</v>
      </c>
      <c r="L2" s="394">
        <v>31914</v>
      </c>
      <c r="M2" s="394">
        <v>248038</v>
      </c>
      <c r="N2" s="394">
        <v>211624</v>
      </c>
      <c r="O2" s="394">
        <v>2500</v>
      </c>
      <c r="P2" s="394">
        <v>200</v>
      </c>
      <c r="Q2" s="394">
        <v>1800</v>
      </c>
      <c r="R2" s="394">
        <v>128700</v>
      </c>
      <c r="S2" s="394"/>
      <c r="T2" s="394">
        <v>81786</v>
      </c>
      <c r="U2" s="394"/>
      <c r="V2" s="394">
        <v>11684</v>
      </c>
      <c r="W2" s="394"/>
      <c r="X2" s="394">
        <v>23368</v>
      </c>
      <c r="Y2" s="394"/>
      <c r="Z2" s="394"/>
    </row>
    <row r="3" spans="1:26" x14ac:dyDescent="0.25">
      <c r="A3" s="394" t="s">
        <v>1052</v>
      </c>
      <c r="B3" s="394">
        <v>128700</v>
      </c>
      <c r="C3" s="394">
        <v>169884</v>
      </c>
      <c r="E3" s="395">
        <f>C3-B3</f>
        <v>41184</v>
      </c>
      <c r="F3" s="395">
        <f>E3*3</f>
        <v>123552</v>
      </c>
      <c r="I3" s="394"/>
      <c r="J3" s="394">
        <v>28600</v>
      </c>
      <c r="K3" s="394" t="s">
        <v>565</v>
      </c>
      <c r="L3" s="394">
        <v>36396</v>
      </c>
      <c r="M3" s="394">
        <v>248038</v>
      </c>
      <c r="N3" s="394"/>
      <c r="O3" s="394">
        <v>2500</v>
      </c>
      <c r="P3" s="394">
        <v>200</v>
      </c>
      <c r="Q3" s="394">
        <v>1800</v>
      </c>
      <c r="R3" s="394">
        <v>128700</v>
      </c>
      <c r="S3" s="394"/>
      <c r="T3" s="394">
        <v>81786</v>
      </c>
      <c r="U3" s="394"/>
      <c r="V3" s="394">
        <v>11684</v>
      </c>
      <c r="W3" s="394"/>
      <c r="X3" s="394">
        <v>23368</v>
      </c>
      <c r="Y3" s="394"/>
      <c r="Z3" s="394"/>
    </row>
    <row r="4" spans="1:26" x14ac:dyDescent="0.25">
      <c r="A4" s="394" t="s">
        <v>197</v>
      </c>
      <c r="B4" s="394">
        <v>81786</v>
      </c>
      <c r="C4" s="394">
        <v>108921</v>
      </c>
      <c r="E4" s="395">
        <f t="shared" ref="E4:E7" si="0">C4-B4</f>
        <v>27135</v>
      </c>
      <c r="F4" s="395">
        <f t="shared" ref="F4:F7" si="1">E4*3</f>
        <v>81405</v>
      </c>
      <c r="I4" s="394"/>
      <c r="J4" s="394">
        <v>28600</v>
      </c>
      <c r="K4" s="394" t="s">
        <v>566</v>
      </c>
      <c r="L4" s="394">
        <v>36319</v>
      </c>
      <c r="M4" s="394">
        <v>248038</v>
      </c>
      <c r="N4" s="394">
        <v>207219</v>
      </c>
      <c r="O4" s="394">
        <v>2500</v>
      </c>
      <c r="P4" s="394">
        <v>200</v>
      </c>
      <c r="Q4" s="394">
        <v>1800</v>
      </c>
      <c r="R4" s="394">
        <v>128700</v>
      </c>
      <c r="S4" s="394"/>
      <c r="T4" s="394">
        <v>81786</v>
      </c>
      <c r="U4" s="394"/>
      <c r="V4" s="394">
        <v>11684</v>
      </c>
      <c r="W4" s="394"/>
      <c r="X4" s="394">
        <v>23368</v>
      </c>
      <c r="Y4" s="394"/>
      <c r="Z4" s="394"/>
    </row>
    <row r="5" spans="1:26" x14ac:dyDescent="0.25">
      <c r="A5" s="394" t="s">
        <v>1055</v>
      </c>
      <c r="B5" s="394">
        <v>11684</v>
      </c>
      <c r="C5" s="394">
        <v>15560</v>
      </c>
      <c r="E5" s="395">
        <f t="shared" si="0"/>
        <v>3876</v>
      </c>
      <c r="F5" s="395">
        <f t="shared" si="1"/>
        <v>11628</v>
      </c>
      <c r="I5" s="394">
        <v>9152</v>
      </c>
      <c r="J5" s="394">
        <v>28600</v>
      </c>
      <c r="K5" s="394" t="s">
        <v>567</v>
      </c>
      <c r="L5" s="394">
        <v>36273</v>
      </c>
      <c r="M5" s="394">
        <v>248038</v>
      </c>
      <c r="N5" s="394"/>
      <c r="O5" s="394">
        <v>2500</v>
      </c>
      <c r="P5" s="394">
        <v>200</v>
      </c>
      <c r="Q5" s="394">
        <v>1800</v>
      </c>
      <c r="R5" s="394">
        <v>128700</v>
      </c>
      <c r="S5" s="394"/>
      <c r="T5" s="394">
        <v>81786</v>
      </c>
      <c r="U5" s="394"/>
      <c r="V5" s="394">
        <v>11684</v>
      </c>
      <c r="W5" s="394"/>
      <c r="X5" s="394">
        <v>23368</v>
      </c>
      <c r="Y5" s="394"/>
      <c r="Z5" s="394"/>
    </row>
    <row r="6" spans="1:26" x14ac:dyDescent="0.25">
      <c r="A6" s="394" t="s">
        <v>195</v>
      </c>
      <c r="B6" s="394">
        <v>23368</v>
      </c>
      <c r="C6" s="394">
        <v>31120</v>
      </c>
      <c r="E6" s="395">
        <f t="shared" si="0"/>
        <v>7752</v>
      </c>
      <c r="F6" s="395">
        <f t="shared" si="1"/>
        <v>23256</v>
      </c>
      <c r="I6" s="394">
        <v>9152</v>
      </c>
      <c r="J6" s="394">
        <v>28600</v>
      </c>
      <c r="K6" s="394" t="s">
        <v>568</v>
      </c>
      <c r="L6" s="394">
        <v>36176</v>
      </c>
      <c r="M6" s="394">
        <v>248038</v>
      </c>
      <c r="N6" s="394"/>
      <c r="O6" s="394">
        <v>2500</v>
      </c>
      <c r="P6" s="394">
        <v>200</v>
      </c>
      <c r="Q6" s="394">
        <v>1800</v>
      </c>
      <c r="R6" s="394">
        <v>128700</v>
      </c>
      <c r="S6" s="394"/>
      <c r="T6" s="394">
        <v>81786</v>
      </c>
      <c r="U6" s="394"/>
      <c r="V6" s="394">
        <v>11684</v>
      </c>
      <c r="W6" s="394"/>
      <c r="X6" s="394">
        <v>23368</v>
      </c>
      <c r="Y6" s="394"/>
      <c r="Z6" s="394"/>
    </row>
    <row r="7" spans="1:26" x14ac:dyDescent="0.25">
      <c r="A7" s="394" t="s">
        <v>205</v>
      </c>
      <c r="B7" s="394">
        <v>2500</v>
      </c>
      <c r="C7" s="394">
        <v>2500</v>
      </c>
      <c r="E7" s="395">
        <f t="shared" si="0"/>
        <v>0</v>
      </c>
      <c r="F7" s="395">
        <f t="shared" si="1"/>
        <v>0</v>
      </c>
      <c r="I7" s="394">
        <f>J8-J7</f>
        <v>9152</v>
      </c>
      <c r="J7" s="394">
        <v>28600</v>
      </c>
      <c r="K7" s="394" t="s">
        <v>569</v>
      </c>
      <c r="L7" s="394">
        <v>43713</v>
      </c>
      <c r="M7" s="394">
        <v>419638</v>
      </c>
      <c r="N7" s="394">
        <v>371425</v>
      </c>
      <c r="O7" s="394">
        <v>2500</v>
      </c>
      <c r="P7" s="394">
        <v>200</v>
      </c>
      <c r="Q7" s="394">
        <v>1800</v>
      </c>
      <c r="R7" s="394">
        <v>128700</v>
      </c>
      <c r="S7" s="394"/>
      <c r="T7" s="394">
        <v>81786</v>
      </c>
      <c r="U7" s="394"/>
      <c r="V7" s="394">
        <v>11684</v>
      </c>
      <c r="W7" s="394"/>
      <c r="X7" s="394">
        <v>23368</v>
      </c>
      <c r="Y7" s="394"/>
      <c r="Z7" s="394">
        <v>171600</v>
      </c>
    </row>
    <row r="8" spans="1:26" x14ac:dyDescent="0.25">
      <c r="A8" s="394"/>
      <c r="B8" s="394"/>
      <c r="C8" s="394"/>
      <c r="I8" s="394"/>
      <c r="J8" s="394">
        <v>37752</v>
      </c>
      <c r="K8" s="394" t="s">
        <v>570</v>
      </c>
      <c r="L8" s="394">
        <v>82926</v>
      </c>
      <c r="M8" s="394">
        <v>567826</v>
      </c>
      <c r="N8" s="394">
        <v>480400</v>
      </c>
      <c r="O8" s="394">
        <v>2500</v>
      </c>
      <c r="P8" s="394">
        <v>200</v>
      </c>
      <c r="Q8" s="394">
        <v>1800</v>
      </c>
      <c r="R8" s="394">
        <v>169884</v>
      </c>
      <c r="S8" s="394">
        <v>123552</v>
      </c>
      <c r="T8" s="394">
        <v>108921</v>
      </c>
      <c r="U8" s="394">
        <v>81405</v>
      </c>
      <c r="V8" s="394">
        <v>15560</v>
      </c>
      <c r="W8" s="394">
        <v>11628</v>
      </c>
      <c r="X8" s="394">
        <v>31120</v>
      </c>
      <c r="Y8" s="394">
        <v>23256</v>
      </c>
      <c r="Z8" s="394"/>
    </row>
    <row r="9" spans="1:26" x14ac:dyDescent="0.25">
      <c r="A9" s="394" t="s">
        <v>1051</v>
      </c>
      <c r="B9" s="394">
        <v>-1800</v>
      </c>
      <c r="C9" s="394">
        <v>-1800</v>
      </c>
      <c r="I9" s="394"/>
      <c r="J9" s="394">
        <v>37752</v>
      </c>
      <c r="K9" s="394" t="s">
        <v>571</v>
      </c>
      <c r="L9" s="394"/>
      <c r="M9" s="394"/>
      <c r="N9" s="394"/>
      <c r="O9" s="394"/>
      <c r="P9" s="394"/>
      <c r="Q9" s="394"/>
      <c r="R9" s="394"/>
      <c r="S9" s="394"/>
      <c r="T9" s="394"/>
      <c r="U9" s="394"/>
      <c r="V9" s="394"/>
      <c r="W9" s="394"/>
      <c r="X9" s="394"/>
      <c r="Y9" s="394"/>
      <c r="Z9" s="394"/>
    </row>
    <row r="10" spans="1:26" x14ac:dyDescent="0.25">
      <c r="A10" s="394" t="s">
        <v>203</v>
      </c>
      <c r="B10" s="394">
        <v>-200</v>
      </c>
      <c r="C10" s="394">
        <v>-200</v>
      </c>
      <c r="I10" s="394"/>
      <c r="J10" s="394">
        <v>37752</v>
      </c>
      <c r="K10" s="394" t="s">
        <v>560</v>
      </c>
      <c r="L10" s="394"/>
      <c r="M10" s="394"/>
      <c r="N10" s="394"/>
      <c r="O10" s="394"/>
      <c r="P10" s="394"/>
      <c r="Q10" s="394"/>
      <c r="R10" s="394"/>
      <c r="S10" s="394"/>
      <c r="T10" s="394"/>
      <c r="U10" s="394"/>
      <c r="V10" s="394"/>
      <c r="W10" s="394"/>
      <c r="X10" s="394"/>
      <c r="Y10" s="394"/>
      <c r="Z10" s="394"/>
    </row>
    <row r="11" spans="1:26" x14ac:dyDescent="0.25">
      <c r="A11" s="394" t="s">
        <v>1061</v>
      </c>
      <c r="B11" s="394">
        <v>-36176</v>
      </c>
      <c r="C11" s="394">
        <v>-82926</v>
      </c>
      <c r="I11" s="394"/>
      <c r="J11" s="394">
        <v>37752</v>
      </c>
      <c r="K11" s="394" t="s">
        <v>561</v>
      </c>
      <c r="L11" s="394"/>
      <c r="M11" s="394"/>
      <c r="N11" s="394"/>
      <c r="O11" s="394"/>
      <c r="P11" s="394"/>
      <c r="Q11" s="394"/>
      <c r="R11" s="394"/>
      <c r="S11" s="394"/>
      <c r="T11" s="394"/>
      <c r="U11" s="394"/>
      <c r="V11" s="394"/>
      <c r="W11" s="394"/>
      <c r="X11" s="394"/>
      <c r="Y11" s="394"/>
      <c r="Z11" s="394"/>
    </row>
    <row r="12" spans="1:26" x14ac:dyDescent="0.25">
      <c r="A12" s="394" t="s">
        <v>1062</v>
      </c>
      <c r="B12" s="394">
        <v>-2500</v>
      </c>
      <c r="C12" s="394">
        <v>-2500</v>
      </c>
      <c r="I12" s="394"/>
      <c r="J12" s="394">
        <v>37752</v>
      </c>
      <c r="K12" s="394" t="s">
        <v>562</v>
      </c>
      <c r="L12" s="394"/>
      <c r="M12" s="394"/>
      <c r="N12" s="394"/>
      <c r="O12" s="394"/>
      <c r="P12" s="394"/>
      <c r="Q12" s="394"/>
      <c r="R12" s="394"/>
      <c r="S12" s="394"/>
      <c r="T12" s="394"/>
      <c r="U12" s="394"/>
      <c r="V12" s="394"/>
      <c r="W12" s="394"/>
      <c r="X12" s="394"/>
      <c r="Y12" s="394"/>
      <c r="Z12" s="394"/>
    </row>
    <row r="13" spans="1:26" x14ac:dyDescent="0.25">
      <c r="A13" s="394"/>
      <c r="B13" s="394"/>
      <c r="C13" s="394"/>
      <c r="I13" s="394"/>
      <c r="J13" s="394">
        <v>37752</v>
      </c>
      <c r="K13" s="394" t="s">
        <v>563</v>
      </c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394"/>
      <c r="X13" s="394"/>
      <c r="Y13" s="394"/>
      <c r="Z13" s="394"/>
    </row>
    <row r="14" spans="1:26" x14ac:dyDescent="0.25">
      <c r="A14" s="394"/>
      <c r="B14" s="394"/>
      <c r="C14" s="394"/>
      <c r="I14" s="394">
        <f t="shared" ref="I14:J14" si="2">SUM(I2:I13)</f>
        <v>27456</v>
      </c>
      <c r="J14" s="394">
        <f t="shared" si="2"/>
        <v>398112</v>
      </c>
      <c r="K14" s="394"/>
      <c r="L14" s="394">
        <f>SUM(L2:L13)</f>
        <v>303717</v>
      </c>
      <c r="M14" s="394">
        <f t="shared" ref="M14:N14" si="3">SUM(M2:M13)</f>
        <v>2227654</v>
      </c>
      <c r="N14" s="394">
        <f t="shared" si="3"/>
        <v>1270668</v>
      </c>
      <c r="O14" s="394">
        <f t="shared" ref="O14" si="4">SUM(O2:O13)</f>
        <v>17500</v>
      </c>
      <c r="P14" s="394">
        <f t="shared" ref="P14" si="5">SUM(P2:P13)</f>
        <v>1400</v>
      </c>
      <c r="Q14" s="394">
        <f t="shared" ref="Q14" si="6">SUM(Q2:Q13)</f>
        <v>12600</v>
      </c>
      <c r="R14" s="394">
        <f t="shared" ref="R14" si="7">SUM(R2:R13)</f>
        <v>942084</v>
      </c>
      <c r="S14" s="394">
        <f t="shared" ref="S14" si="8">SUM(S2:S13)</f>
        <v>123552</v>
      </c>
      <c r="T14" s="394">
        <f t="shared" ref="T14" si="9">SUM(T2:T13)</f>
        <v>599637</v>
      </c>
      <c r="U14" s="394">
        <f t="shared" ref="U14" si="10">SUM(U2:U13)</f>
        <v>81405</v>
      </c>
      <c r="V14" s="394">
        <f t="shared" ref="V14" si="11">SUM(V2:V13)</f>
        <v>85664</v>
      </c>
      <c r="W14" s="394">
        <f t="shared" ref="W14" si="12">SUM(W2:W13)</f>
        <v>11628</v>
      </c>
      <c r="X14" s="394">
        <f t="shared" ref="X14" si="13">SUM(X2:X13)</f>
        <v>171328</v>
      </c>
      <c r="Y14" s="394">
        <f t="shared" ref="Y14:Z14" si="14">SUM(Y2:Y13)</f>
        <v>23256</v>
      </c>
      <c r="Z14" s="394">
        <f t="shared" si="14"/>
        <v>171600</v>
      </c>
    </row>
    <row r="16" spans="1:26" x14ac:dyDescent="0.25">
      <c r="A16" s="395" t="s">
        <v>299</v>
      </c>
      <c r="B16" s="395">
        <f>SUM(B3:B14)</f>
        <v>207362</v>
      </c>
      <c r="C16" s="395">
        <f>SUM(C3:C14)</f>
        <v>240559</v>
      </c>
    </row>
    <row r="19" spans="1:3" x14ac:dyDescent="0.25">
      <c r="A19" s="395" t="s">
        <v>1063</v>
      </c>
      <c r="B19" s="395">
        <v>343200</v>
      </c>
      <c r="C19" s="395">
        <f>B19/12</f>
        <v>28600</v>
      </c>
    </row>
    <row r="20" spans="1:3" x14ac:dyDescent="0.25">
      <c r="B20" s="395">
        <v>453024</v>
      </c>
      <c r="C20" s="395">
        <f>B20/12</f>
        <v>37752</v>
      </c>
    </row>
  </sheetData>
  <mergeCells count="1">
    <mergeCell ref="K1:L1"/>
  </mergeCells>
  <phoneticPr fontId="5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FE8C-390F-4A59-845C-4A75966A4E07}">
  <dimension ref="A1:L50"/>
  <sheetViews>
    <sheetView workbookViewId="0">
      <selection activeCell="F10" sqref="F10"/>
    </sheetView>
  </sheetViews>
  <sheetFormatPr defaultRowHeight="15" x14ac:dyDescent="0.25"/>
  <cols>
    <col min="1" max="1" width="17.5703125" customWidth="1"/>
    <col min="2" max="2" width="29.42578125" customWidth="1"/>
    <col min="3" max="3" width="20.140625" style="11" customWidth="1"/>
    <col min="12" max="12" width="18" customWidth="1"/>
  </cols>
  <sheetData>
    <row r="1" spans="1:12" x14ac:dyDescent="0.25">
      <c r="B1" t="s">
        <v>0</v>
      </c>
      <c r="C1" s="11">
        <f>SUM(C3:C50)</f>
        <v>-3971096</v>
      </c>
    </row>
    <row r="2" spans="1:12" ht="6" customHeight="1" x14ac:dyDescent="0.25"/>
    <row r="3" spans="1:12" x14ac:dyDescent="0.25">
      <c r="A3" s="494">
        <v>44994</v>
      </c>
      <c r="B3" s="1" t="s">
        <v>1064</v>
      </c>
      <c r="C3" s="15">
        <v>-3991900</v>
      </c>
    </row>
    <row r="4" spans="1:12" x14ac:dyDescent="0.25">
      <c r="A4" s="494">
        <v>44994</v>
      </c>
      <c r="B4" s="1" t="s">
        <v>1065</v>
      </c>
      <c r="C4" s="15">
        <v>-118</v>
      </c>
    </row>
    <row r="5" spans="1:12" x14ac:dyDescent="0.25">
      <c r="A5" s="494">
        <v>44994</v>
      </c>
      <c r="B5" s="1" t="s">
        <v>1066</v>
      </c>
      <c r="C5" s="15">
        <v>118</v>
      </c>
    </row>
    <row r="6" spans="1:12" x14ac:dyDescent="0.25">
      <c r="A6" s="494">
        <v>44994</v>
      </c>
      <c r="B6" s="1" t="s">
        <v>1067</v>
      </c>
      <c r="C6" s="15">
        <v>-199595</v>
      </c>
    </row>
    <row r="7" spans="1:12" x14ac:dyDescent="0.25">
      <c r="A7" s="494">
        <v>45016</v>
      </c>
      <c r="B7" s="1" t="s">
        <v>17</v>
      </c>
      <c r="C7" s="15">
        <v>-23375</v>
      </c>
    </row>
    <row r="8" spans="1:12" x14ac:dyDescent="0.25">
      <c r="A8" s="494">
        <v>45021</v>
      </c>
      <c r="B8" s="1" t="s">
        <v>408</v>
      </c>
      <c r="C8" s="15">
        <v>83500</v>
      </c>
      <c r="D8" t="s">
        <v>1068</v>
      </c>
      <c r="L8" s="11">
        <f>SUM(C3:C6)</f>
        <v>-4191495</v>
      </c>
    </row>
    <row r="9" spans="1:12" x14ac:dyDescent="0.25">
      <c r="A9" s="494">
        <v>45046</v>
      </c>
      <c r="B9" s="1" t="s">
        <v>17</v>
      </c>
      <c r="C9" s="15">
        <v>-30133</v>
      </c>
      <c r="L9">
        <v>3971096</v>
      </c>
    </row>
    <row r="10" spans="1:12" x14ac:dyDescent="0.25">
      <c r="A10" s="494">
        <v>45051</v>
      </c>
      <c r="B10" s="1" t="s">
        <v>411</v>
      </c>
      <c r="C10" s="15">
        <v>83500</v>
      </c>
      <c r="D10" t="s">
        <v>1068</v>
      </c>
    </row>
    <row r="11" spans="1:12" x14ac:dyDescent="0.25">
      <c r="A11" s="494">
        <v>45077</v>
      </c>
      <c r="B11" s="1" t="s">
        <v>17</v>
      </c>
      <c r="C11" s="15">
        <v>-30733</v>
      </c>
    </row>
    <row r="12" spans="1:12" x14ac:dyDescent="0.25">
      <c r="A12" s="494">
        <v>45082</v>
      </c>
      <c r="B12" s="1" t="s">
        <v>413</v>
      </c>
      <c r="C12" s="15">
        <v>83500</v>
      </c>
      <c r="D12" t="s">
        <v>1068</v>
      </c>
    </row>
    <row r="13" spans="1:12" x14ac:dyDescent="0.25">
      <c r="A13" s="494">
        <v>45107</v>
      </c>
      <c r="B13" s="1" t="s">
        <v>17</v>
      </c>
      <c r="C13" s="15">
        <v>-29360</v>
      </c>
    </row>
    <row r="14" spans="1:12" x14ac:dyDescent="0.25">
      <c r="A14" s="494">
        <v>45112</v>
      </c>
      <c r="B14" s="1" t="s">
        <v>414</v>
      </c>
      <c r="C14" s="15">
        <v>83500</v>
      </c>
      <c r="D14" t="s">
        <v>1068</v>
      </c>
    </row>
    <row r="15" spans="1:12" x14ac:dyDescent="0.25">
      <c r="A15" s="494"/>
      <c r="B15" s="1"/>
      <c r="C15" s="15"/>
    </row>
    <row r="16" spans="1:12" x14ac:dyDescent="0.25">
      <c r="A16" s="494"/>
      <c r="B16" s="1"/>
      <c r="C16" s="15"/>
    </row>
    <row r="17" spans="1:3" x14ac:dyDescent="0.25">
      <c r="A17" s="494"/>
      <c r="B17" s="1"/>
      <c r="C17" s="15"/>
    </row>
    <row r="18" spans="1:3" x14ac:dyDescent="0.25">
      <c r="A18" s="494"/>
      <c r="B18" s="1"/>
      <c r="C18" s="15"/>
    </row>
    <row r="19" spans="1:3" x14ac:dyDescent="0.25">
      <c r="A19" s="494"/>
      <c r="B19" s="1"/>
      <c r="C19" s="15"/>
    </row>
    <row r="20" spans="1:3" x14ac:dyDescent="0.25">
      <c r="A20" s="494"/>
      <c r="B20" s="1"/>
      <c r="C20" s="15"/>
    </row>
    <row r="21" spans="1:3" x14ac:dyDescent="0.25">
      <c r="A21" s="494"/>
      <c r="B21" s="1"/>
      <c r="C21" s="15"/>
    </row>
    <row r="22" spans="1:3" x14ac:dyDescent="0.25">
      <c r="A22" s="494"/>
      <c r="B22" s="1"/>
      <c r="C22" s="15"/>
    </row>
    <row r="23" spans="1:3" x14ac:dyDescent="0.25">
      <c r="A23" s="494"/>
      <c r="B23" s="1"/>
      <c r="C23" s="15"/>
    </row>
    <row r="24" spans="1:3" x14ac:dyDescent="0.25">
      <c r="A24" s="494"/>
      <c r="B24" s="1"/>
      <c r="C24" s="15"/>
    </row>
    <row r="25" spans="1:3" x14ac:dyDescent="0.25">
      <c r="A25" s="494"/>
      <c r="B25" s="1"/>
      <c r="C25" s="15"/>
    </row>
    <row r="26" spans="1:3" x14ac:dyDescent="0.25">
      <c r="A26" s="494"/>
      <c r="B26" s="1"/>
      <c r="C26" s="15"/>
    </row>
    <row r="27" spans="1:3" x14ac:dyDescent="0.25">
      <c r="A27" s="494"/>
      <c r="B27" s="1"/>
      <c r="C27" s="15"/>
    </row>
    <row r="28" spans="1:3" x14ac:dyDescent="0.25">
      <c r="A28" s="494"/>
      <c r="B28" s="1"/>
      <c r="C28" s="15"/>
    </row>
    <row r="29" spans="1:3" x14ac:dyDescent="0.25">
      <c r="A29" s="494"/>
      <c r="B29" s="1"/>
      <c r="C29" s="15"/>
    </row>
    <row r="30" spans="1:3" x14ac:dyDescent="0.25">
      <c r="A30" s="494"/>
      <c r="B30" s="1"/>
      <c r="C30" s="15"/>
    </row>
    <row r="31" spans="1:3" x14ac:dyDescent="0.25">
      <c r="A31" s="494"/>
      <c r="B31" s="1"/>
      <c r="C31" s="15"/>
    </row>
    <row r="32" spans="1:3" x14ac:dyDescent="0.25">
      <c r="A32" s="494"/>
      <c r="B32" s="1"/>
      <c r="C32" s="15"/>
    </row>
    <row r="33" spans="1:3" x14ac:dyDescent="0.25">
      <c r="A33" s="494"/>
      <c r="B33" s="1"/>
      <c r="C33" s="15"/>
    </row>
    <row r="34" spans="1:3" x14ac:dyDescent="0.25">
      <c r="A34" s="494"/>
      <c r="B34" s="1"/>
      <c r="C34" s="15"/>
    </row>
    <row r="35" spans="1:3" x14ac:dyDescent="0.25">
      <c r="A35" s="1"/>
      <c r="B35" s="1"/>
      <c r="C35" s="15"/>
    </row>
    <row r="36" spans="1:3" x14ac:dyDescent="0.25">
      <c r="A36" s="1"/>
      <c r="B36" s="1"/>
      <c r="C36" s="15"/>
    </row>
    <row r="37" spans="1:3" x14ac:dyDescent="0.25">
      <c r="A37" s="1"/>
      <c r="B37" s="1"/>
      <c r="C37" s="15"/>
    </row>
    <row r="38" spans="1:3" x14ac:dyDescent="0.25">
      <c r="A38" s="1"/>
      <c r="B38" s="1"/>
      <c r="C38" s="15"/>
    </row>
    <row r="39" spans="1:3" x14ac:dyDescent="0.25">
      <c r="A39" s="1"/>
      <c r="B39" s="1"/>
      <c r="C39" s="15"/>
    </row>
    <row r="40" spans="1:3" x14ac:dyDescent="0.25">
      <c r="A40" s="1"/>
      <c r="B40" s="1"/>
      <c r="C40" s="15"/>
    </row>
    <row r="41" spans="1:3" x14ac:dyDescent="0.25">
      <c r="A41" s="1"/>
      <c r="B41" s="1"/>
      <c r="C41" s="15"/>
    </row>
    <row r="42" spans="1:3" x14ac:dyDescent="0.25">
      <c r="A42" s="1"/>
      <c r="B42" s="1"/>
      <c r="C42" s="15"/>
    </row>
    <row r="43" spans="1:3" x14ac:dyDescent="0.25">
      <c r="A43" s="1"/>
      <c r="B43" s="1"/>
      <c r="C43" s="15"/>
    </row>
    <row r="44" spans="1:3" x14ac:dyDescent="0.25">
      <c r="A44" s="1"/>
      <c r="B44" s="1"/>
      <c r="C44" s="15"/>
    </row>
    <row r="45" spans="1:3" x14ac:dyDescent="0.25">
      <c r="A45" s="1"/>
      <c r="B45" s="1"/>
      <c r="C45" s="15"/>
    </row>
    <row r="46" spans="1:3" x14ac:dyDescent="0.25">
      <c r="A46" s="1"/>
      <c r="B46" s="1"/>
      <c r="C46" s="15"/>
    </row>
    <row r="47" spans="1:3" x14ac:dyDescent="0.25">
      <c r="A47" s="1"/>
      <c r="B47" s="1"/>
      <c r="C47" s="15"/>
    </row>
    <row r="48" spans="1:3" x14ac:dyDescent="0.25">
      <c r="A48" s="1"/>
      <c r="B48" s="1"/>
      <c r="C48" s="15"/>
    </row>
    <row r="49" spans="1:3" x14ac:dyDescent="0.25">
      <c r="A49" s="1"/>
      <c r="B49" s="1"/>
      <c r="C49" s="15"/>
    </row>
    <row r="50" spans="1:3" x14ac:dyDescent="0.25">
      <c r="A50" s="1"/>
      <c r="B50" s="1"/>
      <c r="C50" s="1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272A0-8B1F-4F0D-ABB3-0AD2EE9D9183}">
  <dimension ref="A1:B8"/>
  <sheetViews>
    <sheetView zoomScale="190" zoomScaleNormal="190" workbookViewId="0">
      <selection activeCell="G12" sqref="G12"/>
    </sheetView>
  </sheetViews>
  <sheetFormatPr defaultRowHeight="15" x14ac:dyDescent="0.25"/>
  <cols>
    <col min="1" max="1" width="25.7109375" bestFit="1" customWidth="1"/>
  </cols>
  <sheetData>
    <row r="1" spans="1:2" x14ac:dyDescent="0.25">
      <c r="A1" s="1" t="s">
        <v>1069</v>
      </c>
      <c r="B1" s="1" t="s">
        <v>1070</v>
      </c>
    </row>
    <row r="2" spans="1:2" x14ac:dyDescent="0.25">
      <c r="A2" s="1" t="s">
        <v>1071</v>
      </c>
      <c r="B2" s="1">
        <v>64</v>
      </c>
    </row>
    <row r="3" spans="1:2" x14ac:dyDescent="0.25">
      <c r="A3" s="1" t="s">
        <v>1072</v>
      </c>
      <c r="B3" s="1">
        <v>80</v>
      </c>
    </row>
    <row r="4" spans="1:2" x14ac:dyDescent="0.25">
      <c r="A4" s="1" t="s">
        <v>1073</v>
      </c>
      <c r="B4" s="1">
        <v>71</v>
      </c>
    </row>
    <row r="5" spans="1:2" x14ac:dyDescent="0.25">
      <c r="A5" s="1" t="s">
        <v>1074</v>
      </c>
      <c r="B5" s="1">
        <v>72</v>
      </c>
    </row>
    <row r="6" spans="1:2" x14ac:dyDescent="0.25">
      <c r="A6" s="1" t="s">
        <v>1075</v>
      </c>
      <c r="B6" s="1">
        <v>76</v>
      </c>
    </row>
    <row r="7" spans="1:2" x14ac:dyDescent="0.25">
      <c r="A7" s="1" t="s">
        <v>1076</v>
      </c>
      <c r="B7" s="1">
        <v>92</v>
      </c>
    </row>
    <row r="8" spans="1:2" x14ac:dyDescent="0.25">
      <c r="A8" s="1" t="s">
        <v>1077</v>
      </c>
      <c r="B8" s="1">
        <v>60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0B88-6E62-4CF3-9716-7E6A1149A168}">
  <dimension ref="A1:F40"/>
  <sheetViews>
    <sheetView workbookViewId="0">
      <selection activeCell="F6" sqref="F6"/>
    </sheetView>
  </sheetViews>
  <sheetFormatPr defaultRowHeight="17.25" x14ac:dyDescent="0.35"/>
  <cols>
    <col min="1" max="1" width="15" style="509" customWidth="1"/>
    <col min="2" max="4" width="9.140625" style="509"/>
    <col min="5" max="5" width="16.42578125" style="509" bestFit="1" customWidth="1"/>
    <col min="6" max="6" width="15.7109375" style="509" customWidth="1"/>
    <col min="7" max="16384" width="9.140625" style="509"/>
  </cols>
  <sheetData>
    <row r="1" spans="1:6" x14ac:dyDescent="0.35">
      <c r="A1" s="511" t="s">
        <v>1</v>
      </c>
      <c r="B1" s="511" t="s">
        <v>246</v>
      </c>
      <c r="C1" s="511" t="s">
        <v>889</v>
      </c>
      <c r="D1" s="512"/>
      <c r="E1" s="511" t="s">
        <v>1078</v>
      </c>
      <c r="F1" s="514">
        <f>SUM(B2:B39)-SUM(C2:C39)</f>
        <v>-5140.5</v>
      </c>
    </row>
    <row r="2" spans="1:6" x14ac:dyDescent="0.35">
      <c r="A2" s="510">
        <v>45217</v>
      </c>
      <c r="B2" s="513"/>
      <c r="C2" s="513">
        <v>1872</v>
      </c>
    </row>
    <row r="3" spans="1:6" x14ac:dyDescent="0.35">
      <c r="A3" s="510">
        <v>45218</v>
      </c>
      <c r="B3" s="513">
        <v>1801.5</v>
      </c>
      <c r="C3" s="513"/>
      <c r="E3" s="511" t="s">
        <v>213</v>
      </c>
      <c r="F3" s="514">
        <v>15000</v>
      </c>
    </row>
    <row r="4" spans="1:6" x14ac:dyDescent="0.35">
      <c r="A4" s="510">
        <v>45219</v>
      </c>
      <c r="B4" s="513"/>
      <c r="C4" s="513">
        <v>108</v>
      </c>
    </row>
    <row r="5" spans="1:6" x14ac:dyDescent="0.35">
      <c r="A5" s="510">
        <v>45222</v>
      </c>
      <c r="B5" s="513"/>
      <c r="C5" s="513">
        <v>1663.5</v>
      </c>
      <c r="E5" s="511" t="s">
        <v>1079</v>
      </c>
      <c r="F5" s="514">
        <f>100-((F3+F1)/F3)*100</f>
        <v>34.269999999999996</v>
      </c>
    </row>
    <row r="6" spans="1:6" x14ac:dyDescent="0.35">
      <c r="A6" s="510">
        <v>45224</v>
      </c>
      <c r="B6" s="513"/>
      <c r="C6" s="513">
        <v>1719</v>
      </c>
    </row>
    <row r="7" spans="1:6" x14ac:dyDescent="0.35">
      <c r="A7" s="510">
        <v>45225</v>
      </c>
      <c r="B7" s="513"/>
      <c r="C7" s="513">
        <v>1579.5</v>
      </c>
    </row>
    <row r="8" spans="1:6" x14ac:dyDescent="0.35">
      <c r="A8" s="510"/>
      <c r="B8" s="513"/>
      <c r="C8" s="513"/>
    </row>
    <row r="9" spans="1:6" x14ac:dyDescent="0.35">
      <c r="A9" s="510"/>
      <c r="B9" s="513"/>
      <c r="C9" s="513"/>
    </row>
    <row r="10" spans="1:6" x14ac:dyDescent="0.35">
      <c r="A10" s="510"/>
      <c r="B10" s="513"/>
      <c r="C10" s="513"/>
    </row>
    <row r="11" spans="1:6" x14ac:dyDescent="0.35">
      <c r="A11" s="510"/>
      <c r="B11" s="513"/>
      <c r="C11" s="513"/>
    </row>
    <row r="12" spans="1:6" x14ac:dyDescent="0.35">
      <c r="A12" s="510"/>
      <c r="B12" s="513"/>
      <c r="C12" s="513"/>
    </row>
    <row r="13" spans="1:6" x14ac:dyDescent="0.35">
      <c r="A13" s="510"/>
      <c r="B13" s="513"/>
      <c r="C13" s="513"/>
    </row>
    <row r="14" spans="1:6" x14ac:dyDescent="0.35">
      <c r="A14" s="510"/>
      <c r="B14" s="513"/>
      <c r="C14" s="513"/>
    </row>
    <row r="15" spans="1:6" x14ac:dyDescent="0.35">
      <c r="A15" s="510"/>
      <c r="B15" s="513"/>
      <c r="C15" s="513"/>
    </row>
    <row r="16" spans="1:6" x14ac:dyDescent="0.35">
      <c r="A16" s="510"/>
      <c r="B16" s="513"/>
      <c r="C16" s="513"/>
    </row>
    <row r="17" spans="1:3" x14ac:dyDescent="0.35">
      <c r="A17" s="510"/>
      <c r="B17" s="513"/>
      <c r="C17" s="513"/>
    </row>
    <row r="18" spans="1:3" x14ac:dyDescent="0.35">
      <c r="A18" s="510"/>
      <c r="B18" s="513"/>
      <c r="C18" s="513"/>
    </row>
    <row r="19" spans="1:3" x14ac:dyDescent="0.35">
      <c r="A19" s="510"/>
      <c r="B19" s="513"/>
      <c r="C19" s="513"/>
    </row>
    <row r="20" spans="1:3" x14ac:dyDescent="0.35">
      <c r="A20" s="510"/>
      <c r="B20" s="513"/>
      <c r="C20" s="513"/>
    </row>
    <row r="21" spans="1:3" x14ac:dyDescent="0.35">
      <c r="A21" s="510"/>
      <c r="B21" s="513"/>
      <c r="C21" s="513"/>
    </row>
    <row r="22" spans="1:3" x14ac:dyDescent="0.35">
      <c r="A22" s="510"/>
      <c r="B22" s="513"/>
      <c r="C22" s="513"/>
    </row>
    <row r="23" spans="1:3" x14ac:dyDescent="0.35">
      <c r="A23" s="510"/>
      <c r="B23" s="513"/>
      <c r="C23" s="513"/>
    </row>
    <row r="24" spans="1:3" x14ac:dyDescent="0.35">
      <c r="A24" s="510"/>
      <c r="B24" s="513"/>
      <c r="C24" s="513"/>
    </row>
    <row r="25" spans="1:3" x14ac:dyDescent="0.35">
      <c r="A25" s="510"/>
      <c r="B25" s="513"/>
      <c r="C25" s="513"/>
    </row>
    <row r="26" spans="1:3" x14ac:dyDescent="0.35">
      <c r="A26" s="510"/>
      <c r="B26" s="513"/>
      <c r="C26" s="513"/>
    </row>
    <row r="27" spans="1:3" x14ac:dyDescent="0.35">
      <c r="A27" s="510"/>
      <c r="B27" s="513"/>
      <c r="C27" s="513"/>
    </row>
    <row r="28" spans="1:3" x14ac:dyDescent="0.35">
      <c r="A28" s="510"/>
      <c r="B28" s="513"/>
      <c r="C28" s="513"/>
    </row>
    <row r="29" spans="1:3" x14ac:dyDescent="0.35">
      <c r="A29" s="510"/>
      <c r="B29" s="513"/>
      <c r="C29" s="513"/>
    </row>
    <row r="30" spans="1:3" x14ac:dyDescent="0.35">
      <c r="A30" s="510"/>
      <c r="B30" s="513"/>
      <c r="C30" s="513"/>
    </row>
    <row r="31" spans="1:3" x14ac:dyDescent="0.35">
      <c r="A31" s="510"/>
      <c r="B31" s="513"/>
      <c r="C31" s="513"/>
    </row>
    <row r="32" spans="1:3" x14ac:dyDescent="0.35">
      <c r="A32" s="510"/>
      <c r="B32" s="513"/>
      <c r="C32" s="513"/>
    </row>
    <row r="33" spans="1:3" x14ac:dyDescent="0.35">
      <c r="A33" s="510"/>
      <c r="B33" s="513"/>
      <c r="C33" s="513"/>
    </row>
    <row r="34" spans="1:3" x14ac:dyDescent="0.35">
      <c r="A34" s="510"/>
      <c r="B34" s="513"/>
      <c r="C34" s="513"/>
    </row>
    <row r="35" spans="1:3" x14ac:dyDescent="0.35">
      <c r="A35" s="510"/>
      <c r="B35" s="513"/>
      <c r="C35" s="513"/>
    </row>
    <row r="36" spans="1:3" x14ac:dyDescent="0.35">
      <c r="A36" s="510"/>
      <c r="B36" s="513"/>
      <c r="C36" s="513"/>
    </row>
    <row r="37" spans="1:3" x14ac:dyDescent="0.35">
      <c r="A37" s="510"/>
      <c r="B37" s="513"/>
      <c r="C37" s="513"/>
    </row>
    <row r="38" spans="1:3" x14ac:dyDescent="0.35">
      <c r="A38" s="510"/>
      <c r="B38" s="513"/>
      <c r="C38" s="513"/>
    </row>
    <row r="39" spans="1:3" x14ac:dyDescent="0.35">
      <c r="A39" s="510"/>
      <c r="B39" s="513"/>
      <c r="C39" s="513"/>
    </row>
    <row r="40" spans="1:3" x14ac:dyDescent="0.35">
      <c r="A40" s="510"/>
      <c r="B40" s="513"/>
      <c r="C40" s="51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/>
  <dimension ref="A1:Q138"/>
  <sheetViews>
    <sheetView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L75" sqref="L75"/>
    </sheetView>
  </sheetViews>
  <sheetFormatPr defaultColWidth="9.140625" defaultRowHeight="12.75" customHeight="1" x14ac:dyDescent="0.2"/>
  <cols>
    <col min="1" max="1" width="6.28515625" style="48" bestFit="1" customWidth="1"/>
    <col min="2" max="3" width="8.28515625" style="48" bestFit="1" customWidth="1"/>
    <col min="4" max="4" width="14.140625" style="48" bestFit="1" customWidth="1"/>
    <col min="5" max="6" width="9.140625" style="48" bestFit="1" customWidth="1"/>
    <col min="7" max="9" width="9.140625" style="48"/>
    <col min="10" max="10" width="9.28515625" style="48" bestFit="1" customWidth="1"/>
    <col min="11" max="14" width="12.5703125" style="48" bestFit="1" customWidth="1"/>
    <col min="15" max="17" width="11.85546875" style="48" bestFit="1" customWidth="1"/>
    <col min="18" max="16384" width="9.140625" style="48"/>
  </cols>
  <sheetData>
    <row r="1" spans="1:6" ht="12.75" customHeight="1" x14ac:dyDescent="0.2">
      <c r="B1" s="127" t="s">
        <v>299</v>
      </c>
      <c r="C1" s="127" t="s">
        <v>1047</v>
      </c>
      <c r="D1" s="127" t="s">
        <v>1080</v>
      </c>
    </row>
    <row r="2" spans="1:6" ht="12.75" customHeight="1" x14ac:dyDescent="0.2">
      <c r="A2" s="89">
        <v>42217</v>
      </c>
      <c r="B2" s="90">
        <v>89332.1</v>
      </c>
      <c r="E2" s="49" t="s">
        <v>18</v>
      </c>
      <c r="F2" s="50">
        <f>SUM(B2:B70)+SUM(D2:D70)</f>
        <v>8428714.1999999993</v>
      </c>
    </row>
    <row r="3" spans="1:6" ht="12.75" customHeight="1" x14ac:dyDescent="0.2">
      <c r="A3" s="89">
        <v>42248</v>
      </c>
      <c r="B3" s="90">
        <v>126852</v>
      </c>
      <c r="C3" s="86"/>
      <c r="D3" s="86"/>
      <c r="E3" s="86"/>
    </row>
    <row r="4" spans="1:6" ht="12.75" customHeight="1" x14ac:dyDescent="0.2">
      <c r="A4" s="89">
        <v>42278</v>
      </c>
      <c r="B4" s="90">
        <v>126852</v>
      </c>
      <c r="C4" s="86"/>
      <c r="D4" s="86"/>
      <c r="E4" s="86"/>
    </row>
    <row r="5" spans="1:6" ht="12.75" customHeight="1" x14ac:dyDescent="0.2">
      <c r="A5" s="89">
        <v>42309</v>
      </c>
      <c r="B5" s="90">
        <v>107896.1</v>
      </c>
      <c r="C5" s="86"/>
      <c r="D5" s="86"/>
      <c r="E5" s="86"/>
    </row>
    <row r="6" spans="1:6" ht="12.75" customHeight="1" x14ac:dyDescent="0.2">
      <c r="A6" s="89">
        <v>42339</v>
      </c>
      <c r="B6" s="90">
        <v>112986</v>
      </c>
      <c r="C6" s="86"/>
      <c r="D6" s="86"/>
      <c r="E6" s="86"/>
    </row>
    <row r="7" spans="1:6" ht="12.75" customHeight="1" x14ac:dyDescent="0.2">
      <c r="A7" s="89">
        <v>42370</v>
      </c>
      <c r="B7" s="90">
        <v>112986</v>
      </c>
      <c r="C7" s="86"/>
      <c r="D7" s="86"/>
      <c r="E7" s="86"/>
    </row>
    <row r="8" spans="1:6" ht="12.75" customHeight="1" x14ac:dyDescent="0.2">
      <c r="A8" s="89">
        <v>42401</v>
      </c>
      <c r="B8" s="90">
        <v>122359</v>
      </c>
      <c r="C8" s="86"/>
      <c r="D8" s="86"/>
      <c r="E8" s="86"/>
    </row>
    <row r="9" spans="1:6" ht="12.75" customHeight="1" x14ac:dyDescent="0.2">
      <c r="A9" s="89">
        <v>42430</v>
      </c>
      <c r="B9" s="90">
        <v>122360</v>
      </c>
      <c r="C9" s="86"/>
      <c r="D9" s="86"/>
      <c r="E9" s="86"/>
    </row>
    <row r="10" spans="1:6" ht="12.75" customHeight="1" x14ac:dyDescent="0.2">
      <c r="A10" s="47">
        <v>42461</v>
      </c>
      <c r="B10" s="10">
        <v>123495</v>
      </c>
      <c r="C10" s="86"/>
      <c r="D10" s="86"/>
      <c r="E10" s="86"/>
    </row>
    <row r="11" spans="1:6" ht="12.75" customHeight="1" x14ac:dyDescent="0.2">
      <c r="A11" s="47">
        <v>42491</v>
      </c>
      <c r="B11" s="10">
        <v>138621</v>
      </c>
      <c r="C11" s="86"/>
      <c r="D11" s="86"/>
      <c r="E11" s="86"/>
    </row>
    <row r="12" spans="1:6" ht="12.75" customHeight="1" x14ac:dyDescent="0.2">
      <c r="A12" s="47">
        <v>42522</v>
      </c>
      <c r="B12" s="10">
        <v>134397</v>
      </c>
      <c r="C12" s="86"/>
      <c r="D12" s="86"/>
      <c r="E12" s="86"/>
    </row>
    <row r="13" spans="1:6" ht="12.75" customHeight="1" x14ac:dyDescent="0.2">
      <c r="A13" s="47">
        <v>42552</v>
      </c>
      <c r="B13" s="10">
        <v>134397</v>
      </c>
      <c r="C13" s="86"/>
      <c r="D13" s="86"/>
      <c r="E13" s="86"/>
    </row>
    <row r="14" spans="1:6" ht="12.75" customHeight="1" x14ac:dyDescent="0.2">
      <c r="A14" s="47">
        <v>42583</v>
      </c>
      <c r="B14" s="10">
        <v>134397</v>
      </c>
      <c r="C14" s="86"/>
      <c r="D14" s="86"/>
      <c r="E14" s="86"/>
    </row>
    <row r="15" spans="1:6" ht="12.75" customHeight="1" x14ac:dyDescent="0.2">
      <c r="A15" s="47">
        <v>42614</v>
      </c>
      <c r="B15" s="10">
        <v>134397</v>
      </c>
      <c r="C15" s="86"/>
      <c r="D15" s="86"/>
      <c r="E15" s="86"/>
    </row>
    <row r="16" spans="1:6" ht="12.75" customHeight="1" x14ac:dyDescent="0.2">
      <c r="A16" s="47">
        <v>42644</v>
      </c>
      <c r="B16" s="10">
        <v>134397</v>
      </c>
      <c r="C16" s="86"/>
      <c r="D16" s="86"/>
      <c r="E16" s="86"/>
    </row>
    <row r="17" spans="1:17" ht="12.75" customHeight="1" x14ac:dyDescent="0.2">
      <c r="A17" s="47">
        <v>42675</v>
      </c>
      <c r="B17" s="10">
        <v>134397</v>
      </c>
      <c r="C17" s="86"/>
      <c r="D17" s="86"/>
      <c r="E17" s="86"/>
    </row>
    <row r="18" spans="1:17" ht="12.75" customHeight="1" x14ac:dyDescent="0.2">
      <c r="A18" s="47">
        <v>42705</v>
      </c>
      <c r="B18" s="10">
        <v>134397</v>
      </c>
      <c r="C18" s="86"/>
      <c r="D18" s="86"/>
      <c r="E18" s="86"/>
    </row>
    <row r="19" spans="1:17" ht="12.75" customHeight="1" x14ac:dyDescent="0.2">
      <c r="A19" s="47">
        <v>42736</v>
      </c>
      <c r="B19" s="10">
        <v>134397</v>
      </c>
      <c r="C19" s="86"/>
      <c r="D19" s="86"/>
      <c r="E19" s="86"/>
    </row>
    <row r="20" spans="1:17" ht="12.75" customHeight="1" x14ac:dyDescent="0.2">
      <c r="A20" s="47">
        <v>42767</v>
      </c>
      <c r="B20" s="10">
        <v>133663</v>
      </c>
      <c r="C20" s="86"/>
      <c r="D20" s="86"/>
      <c r="E20" s="86"/>
    </row>
    <row r="21" spans="1:17" ht="12.75" customHeight="1" x14ac:dyDescent="0.2">
      <c r="A21" s="47">
        <v>42795</v>
      </c>
      <c r="B21" s="10">
        <v>133664</v>
      </c>
      <c r="C21" s="86"/>
      <c r="D21" s="86"/>
      <c r="E21" s="86"/>
    </row>
    <row r="22" spans="1:17" ht="12.75" customHeight="1" x14ac:dyDescent="0.2">
      <c r="A22" s="89">
        <v>42826</v>
      </c>
      <c r="B22" s="90">
        <v>143314</v>
      </c>
      <c r="C22" s="86">
        <v>171008</v>
      </c>
      <c r="D22" s="86"/>
      <c r="E22" s="86"/>
    </row>
    <row r="23" spans="1:17" ht="12.75" customHeight="1" x14ac:dyDescent="0.2">
      <c r="A23" s="89">
        <v>42856</v>
      </c>
      <c r="B23" s="90">
        <v>139843</v>
      </c>
      <c r="C23" s="86">
        <v>171008</v>
      </c>
      <c r="D23" s="86"/>
      <c r="E23" s="86"/>
    </row>
    <row r="24" spans="1:17" ht="12.75" customHeight="1" x14ac:dyDescent="0.2">
      <c r="A24" s="89">
        <v>42887</v>
      </c>
      <c r="B24" s="90">
        <v>137958</v>
      </c>
      <c r="C24" s="86">
        <v>171008</v>
      </c>
      <c r="D24" s="86">
        <v>61000</v>
      </c>
      <c r="E24" s="86"/>
      <c r="N24" s="91" t="s">
        <v>1081</v>
      </c>
      <c r="O24" s="96">
        <v>1850000</v>
      </c>
      <c r="P24" s="96"/>
    </row>
    <row r="25" spans="1:17" ht="12.75" customHeight="1" x14ac:dyDescent="0.2">
      <c r="A25" s="89">
        <v>42917</v>
      </c>
      <c r="B25" s="90">
        <v>137958</v>
      </c>
      <c r="C25" s="86">
        <v>171008</v>
      </c>
      <c r="D25" s="86"/>
      <c r="E25" s="86"/>
      <c r="N25" s="91" t="s">
        <v>454</v>
      </c>
      <c r="O25" s="96">
        <f>O24+O24*10/100</f>
        <v>2035000</v>
      </c>
      <c r="P25" s="96">
        <f>O25-O24</f>
        <v>185000</v>
      </c>
    </row>
    <row r="26" spans="1:17" ht="12.75" customHeight="1" x14ac:dyDescent="0.2">
      <c r="A26" s="89">
        <v>42948</v>
      </c>
      <c r="B26" s="90">
        <v>139158</v>
      </c>
      <c r="C26" s="86">
        <v>171008</v>
      </c>
      <c r="D26" s="86"/>
      <c r="E26" s="86"/>
      <c r="N26" s="91" t="s">
        <v>455</v>
      </c>
      <c r="O26" s="96">
        <f>O25+O25*5/100</f>
        <v>2136750</v>
      </c>
      <c r="P26" s="96">
        <f>O26-O25</f>
        <v>101750</v>
      </c>
    </row>
    <row r="27" spans="1:17" ht="12.75" customHeight="1" x14ac:dyDescent="0.2">
      <c r="A27" s="89">
        <v>42979</v>
      </c>
      <c r="B27" s="90">
        <v>147952</v>
      </c>
      <c r="C27" s="86">
        <v>171008</v>
      </c>
      <c r="D27" s="86">
        <v>13729</v>
      </c>
      <c r="E27" s="86"/>
      <c r="N27" s="91" t="s">
        <v>456</v>
      </c>
      <c r="O27" s="96">
        <f>O26+O26*5/100</f>
        <v>2243587.5</v>
      </c>
      <c r="P27" s="96">
        <f>O27-O26</f>
        <v>106837.5</v>
      </c>
    </row>
    <row r="28" spans="1:17" ht="12.75" customHeight="1" x14ac:dyDescent="0.2">
      <c r="A28" s="89">
        <v>43009</v>
      </c>
      <c r="B28" s="90">
        <v>134224</v>
      </c>
      <c r="C28" s="86">
        <v>171008</v>
      </c>
      <c r="D28" s="86"/>
      <c r="E28" s="86"/>
      <c r="N28" s="91" t="s">
        <v>457</v>
      </c>
      <c r="O28" s="91"/>
      <c r="P28" s="91"/>
    </row>
    <row r="29" spans="1:17" ht="12.75" customHeight="1" x14ac:dyDescent="0.2">
      <c r="A29" s="89">
        <v>43040</v>
      </c>
      <c r="B29" s="90">
        <v>138552</v>
      </c>
      <c r="C29" s="86">
        <v>171008</v>
      </c>
      <c r="D29" s="86"/>
      <c r="E29" s="86"/>
      <c r="N29" s="91" t="s">
        <v>458</v>
      </c>
      <c r="O29" s="91"/>
      <c r="P29" s="91"/>
    </row>
    <row r="30" spans="1:17" ht="12.75" customHeight="1" x14ac:dyDescent="0.2">
      <c r="A30" s="89">
        <v>43070</v>
      </c>
      <c r="B30" s="90">
        <v>138552</v>
      </c>
      <c r="C30" s="86">
        <v>171008</v>
      </c>
      <c r="D30" s="86"/>
      <c r="E30" s="86"/>
      <c r="N30" s="91" t="s">
        <v>459</v>
      </c>
      <c r="O30" s="91"/>
      <c r="P30" s="91"/>
    </row>
    <row r="31" spans="1:17" ht="12.75" customHeight="1" x14ac:dyDescent="0.2">
      <c r="A31" s="89">
        <v>43101</v>
      </c>
      <c r="B31" s="90">
        <v>138552</v>
      </c>
      <c r="C31" s="86">
        <v>171008</v>
      </c>
      <c r="D31" s="86"/>
      <c r="E31" s="86"/>
    </row>
    <row r="32" spans="1:17" ht="12.75" customHeight="1" x14ac:dyDescent="0.2">
      <c r="A32" s="89">
        <v>43132</v>
      </c>
      <c r="B32" s="90">
        <v>138157</v>
      </c>
      <c r="C32" s="86">
        <v>171008</v>
      </c>
      <c r="D32" s="86"/>
      <c r="E32" s="86"/>
      <c r="F32" s="86"/>
      <c r="Q32" s="104"/>
    </row>
    <row r="33" spans="1:17" ht="12.75" customHeight="1" x14ac:dyDescent="0.2">
      <c r="A33" s="89">
        <v>43160</v>
      </c>
      <c r="B33" s="90">
        <v>138157</v>
      </c>
      <c r="C33" s="86">
        <v>171008</v>
      </c>
      <c r="D33" s="86"/>
      <c r="E33" s="86"/>
    </row>
    <row r="34" spans="1:17" ht="12.75" customHeight="1" x14ac:dyDescent="0.2">
      <c r="A34" s="47">
        <v>43191</v>
      </c>
      <c r="B34" s="10">
        <v>150127</v>
      </c>
      <c r="C34" s="86">
        <v>179741</v>
      </c>
      <c r="D34" s="86"/>
      <c r="E34" s="86"/>
    </row>
    <row r="35" spans="1:17" ht="12.75" customHeight="1" x14ac:dyDescent="0.2">
      <c r="A35" s="47">
        <v>43221</v>
      </c>
      <c r="B35" s="10">
        <v>146572</v>
      </c>
      <c r="C35" s="86">
        <v>179741</v>
      </c>
      <c r="D35" s="86"/>
      <c r="E35" s="86"/>
      <c r="J35" s="107"/>
      <c r="K35" s="107" t="s">
        <v>1082</v>
      </c>
      <c r="L35" s="107" t="s">
        <v>1083</v>
      </c>
      <c r="M35" s="107" t="s">
        <v>1084</v>
      </c>
      <c r="N35" s="107" t="s">
        <v>1085</v>
      </c>
      <c r="O35" s="107" t="s">
        <v>1086</v>
      </c>
      <c r="P35" s="107" t="s">
        <v>1087</v>
      </c>
      <c r="Q35" s="107" t="s">
        <v>1088</v>
      </c>
    </row>
    <row r="36" spans="1:17" ht="12.75" customHeight="1" x14ac:dyDescent="0.2">
      <c r="A36" s="47">
        <v>43252</v>
      </c>
      <c r="B36" s="10">
        <v>145012</v>
      </c>
      <c r="C36" s="86">
        <v>179741</v>
      </c>
      <c r="D36" s="86">
        <v>50000</v>
      </c>
      <c r="E36" s="86"/>
      <c r="J36" s="96" t="s">
        <v>854</v>
      </c>
      <c r="K36" s="96">
        <v>17672</v>
      </c>
      <c r="L36" s="96">
        <v>21314</v>
      </c>
      <c r="M36" s="96">
        <v>21314</v>
      </c>
      <c r="N36" s="96">
        <v>24868</v>
      </c>
      <c r="O36" s="96"/>
      <c r="P36" s="96">
        <v>25661</v>
      </c>
      <c r="Q36" s="96"/>
    </row>
    <row r="37" spans="1:17" ht="12.75" customHeight="1" x14ac:dyDescent="0.2">
      <c r="A37" s="47">
        <v>43282</v>
      </c>
      <c r="B37" s="10">
        <v>145012</v>
      </c>
      <c r="C37" s="86">
        <v>179741</v>
      </c>
      <c r="D37" s="86"/>
      <c r="E37" s="86"/>
      <c r="J37" s="96" t="s">
        <v>565</v>
      </c>
      <c r="K37" s="96">
        <v>17672</v>
      </c>
      <c r="L37" s="96">
        <v>24785</v>
      </c>
      <c r="M37" s="96">
        <v>24869</v>
      </c>
      <c r="N37" s="96">
        <v>28919</v>
      </c>
      <c r="O37" s="96"/>
      <c r="P37" s="96">
        <v>25061</v>
      </c>
      <c r="Q37" s="96"/>
    </row>
    <row r="38" spans="1:17" ht="12.75" customHeight="1" x14ac:dyDescent="0.2">
      <c r="A38" s="47">
        <v>43313</v>
      </c>
      <c r="B38" s="10">
        <v>138204</v>
      </c>
      <c r="C38" s="86">
        <v>179741</v>
      </c>
      <c r="D38" s="86"/>
      <c r="E38" s="86"/>
      <c r="J38" s="96" t="s">
        <v>837</v>
      </c>
      <c r="K38" s="96">
        <v>21896</v>
      </c>
      <c r="L38" s="96">
        <v>26670</v>
      </c>
      <c r="M38" s="96">
        <v>26429</v>
      </c>
      <c r="N38" s="96">
        <v>44194</v>
      </c>
      <c r="O38" s="96"/>
      <c r="P38" s="96">
        <v>25061</v>
      </c>
      <c r="Q38" s="96"/>
    </row>
    <row r="39" spans="1:17" ht="12.75" customHeight="1" x14ac:dyDescent="0.2">
      <c r="A39" s="47">
        <v>43344</v>
      </c>
      <c r="B39" s="10">
        <v>138204</v>
      </c>
      <c r="C39" s="86">
        <v>179741</v>
      </c>
      <c r="D39" s="86"/>
      <c r="E39" s="86"/>
      <c r="J39" s="96" t="s">
        <v>839</v>
      </c>
      <c r="K39" s="96">
        <v>21896</v>
      </c>
      <c r="L39" s="96">
        <v>26670</v>
      </c>
      <c r="M39" s="96">
        <v>26429</v>
      </c>
      <c r="N39" s="96">
        <v>28594</v>
      </c>
      <c r="O39" s="96"/>
      <c r="P39" s="96">
        <v>44233</v>
      </c>
      <c r="Q39" s="96"/>
    </row>
    <row r="40" spans="1:17" ht="12.75" customHeight="1" x14ac:dyDescent="0.2">
      <c r="A40" s="47">
        <v>43374</v>
      </c>
      <c r="B40" s="10">
        <v>145012</v>
      </c>
      <c r="C40" s="86">
        <v>179741</v>
      </c>
      <c r="D40" s="86"/>
      <c r="E40" s="86"/>
      <c r="J40" s="96" t="s">
        <v>842</v>
      </c>
      <c r="K40" s="96">
        <v>21896</v>
      </c>
      <c r="L40" s="96">
        <v>26670</v>
      </c>
      <c r="M40" s="96">
        <v>26429</v>
      </c>
      <c r="N40" s="96">
        <v>28595</v>
      </c>
      <c r="O40" s="96"/>
      <c r="P40" s="96">
        <v>27164</v>
      </c>
      <c r="Q40" s="96"/>
    </row>
    <row r="41" spans="1:17" ht="12.75" customHeight="1" x14ac:dyDescent="0.2">
      <c r="A41" s="47">
        <v>43405</v>
      </c>
      <c r="B41" s="10">
        <v>145012</v>
      </c>
      <c r="C41" s="86">
        <v>179741</v>
      </c>
      <c r="D41" s="86"/>
      <c r="E41" s="86"/>
      <c r="J41" s="96" t="s">
        <v>845</v>
      </c>
      <c r="K41" s="96">
        <v>21896</v>
      </c>
      <c r="L41" s="96">
        <v>27276</v>
      </c>
      <c r="M41" s="96">
        <v>26429</v>
      </c>
      <c r="N41" s="96">
        <v>28594</v>
      </c>
      <c r="O41" s="96"/>
      <c r="P41" s="96">
        <v>5364</v>
      </c>
      <c r="Q41" s="96"/>
    </row>
    <row r="42" spans="1:17" ht="12.75" customHeight="1" x14ac:dyDescent="0.2">
      <c r="A42" s="47">
        <v>43435</v>
      </c>
      <c r="B42" s="10">
        <v>145012</v>
      </c>
      <c r="C42" s="86">
        <v>179741</v>
      </c>
      <c r="D42" s="86"/>
      <c r="E42" s="86"/>
      <c r="J42" s="96" t="s">
        <v>847</v>
      </c>
      <c r="K42" s="96">
        <v>21896</v>
      </c>
      <c r="L42" s="96">
        <v>27276</v>
      </c>
      <c r="M42" s="96">
        <v>26429</v>
      </c>
      <c r="N42" s="96">
        <v>28595</v>
      </c>
      <c r="O42" s="96"/>
      <c r="P42" s="96">
        <v>50577</v>
      </c>
      <c r="Q42" s="96"/>
    </row>
    <row r="43" spans="1:17" ht="12.75" customHeight="1" x14ac:dyDescent="0.2">
      <c r="A43" s="47">
        <v>43466</v>
      </c>
      <c r="B43" s="10">
        <v>145012</v>
      </c>
      <c r="C43" s="86">
        <v>179741</v>
      </c>
      <c r="D43" s="86"/>
      <c r="E43" s="86"/>
      <c r="J43" s="96" t="s">
        <v>848</v>
      </c>
      <c r="K43" s="96">
        <v>21896</v>
      </c>
      <c r="L43" s="96">
        <v>27276</v>
      </c>
      <c r="M43" s="96">
        <v>26429</v>
      </c>
      <c r="N43" s="96">
        <v>28594</v>
      </c>
      <c r="O43" s="96"/>
      <c r="P43" s="96">
        <v>50409</v>
      </c>
      <c r="Q43" s="96"/>
    </row>
    <row r="44" spans="1:17" ht="12.75" customHeight="1" x14ac:dyDescent="0.2">
      <c r="A44" s="47">
        <v>43497</v>
      </c>
      <c r="B44" s="10">
        <v>143322</v>
      </c>
      <c r="C44" s="86">
        <v>179741</v>
      </c>
      <c r="D44" s="86"/>
      <c r="E44" s="86"/>
      <c r="J44" s="96" t="s">
        <v>850</v>
      </c>
      <c r="K44" s="96">
        <v>21896</v>
      </c>
      <c r="L44" s="96">
        <v>27276</v>
      </c>
      <c r="M44" s="96">
        <v>26429</v>
      </c>
      <c r="N44" s="96">
        <v>28595</v>
      </c>
      <c r="O44" s="96"/>
      <c r="P44" s="96">
        <v>50198</v>
      </c>
      <c r="Q44" s="96"/>
    </row>
    <row r="45" spans="1:17" ht="12.75" customHeight="1" x14ac:dyDescent="0.2">
      <c r="A45" s="47">
        <v>43525</v>
      </c>
      <c r="B45" s="10">
        <v>125595</v>
      </c>
      <c r="C45" s="86">
        <v>179741</v>
      </c>
      <c r="D45" s="86"/>
      <c r="E45" s="86"/>
      <c r="J45" s="96" t="s">
        <v>851</v>
      </c>
      <c r="K45" s="96">
        <v>21896</v>
      </c>
      <c r="L45" s="96">
        <v>27276</v>
      </c>
      <c r="M45" s="96">
        <v>26429</v>
      </c>
      <c r="N45" s="96">
        <v>29048</v>
      </c>
      <c r="O45" s="96">
        <v>35529</v>
      </c>
      <c r="P45" s="96">
        <v>55117</v>
      </c>
      <c r="Q45" s="96"/>
    </row>
    <row r="46" spans="1:17" ht="12.75" customHeight="1" x14ac:dyDescent="0.2">
      <c r="A46" s="89">
        <v>43556</v>
      </c>
      <c r="B46" s="90">
        <v>159904</v>
      </c>
      <c r="C46" s="86">
        <v>195292</v>
      </c>
      <c r="D46" s="86"/>
      <c r="E46" s="86"/>
      <c r="J46" s="96" t="s">
        <v>852</v>
      </c>
      <c r="K46" s="96">
        <v>22630</v>
      </c>
      <c r="L46" s="96">
        <v>27671</v>
      </c>
      <c r="M46" s="96">
        <v>28119</v>
      </c>
      <c r="N46" s="96"/>
      <c r="O46" s="96">
        <v>34562</v>
      </c>
      <c r="P46" s="96">
        <v>82773</v>
      </c>
      <c r="Q46" s="96"/>
    </row>
    <row r="47" spans="1:17" ht="12.75" customHeight="1" x14ac:dyDescent="0.2">
      <c r="A47" s="89">
        <v>43586</v>
      </c>
      <c r="B47" s="90">
        <v>145422</v>
      </c>
      <c r="C47" s="86">
        <v>195292</v>
      </c>
      <c r="D47" s="86"/>
      <c r="E47" s="86"/>
      <c r="J47" s="96" t="s">
        <v>853</v>
      </c>
      <c r="K47" s="96">
        <v>22629</v>
      </c>
      <c r="L47" s="96">
        <v>27671</v>
      </c>
      <c r="M47" s="96">
        <v>45846</v>
      </c>
      <c r="N47" s="96"/>
      <c r="O47" s="96">
        <v>34561</v>
      </c>
      <c r="P47" s="96"/>
      <c r="Q47" s="96"/>
    </row>
    <row r="48" spans="1:17" ht="12.75" customHeight="1" x14ac:dyDescent="0.2">
      <c r="A48" s="89">
        <v>43617</v>
      </c>
      <c r="B48" s="90">
        <v>180167</v>
      </c>
      <c r="C48" s="86">
        <v>245292</v>
      </c>
      <c r="D48" s="86">
        <v>50000</v>
      </c>
      <c r="E48" s="86"/>
      <c r="J48" s="105" t="s">
        <v>1089</v>
      </c>
      <c r="K48" s="106">
        <f>SUM(K36:K47)</f>
        <v>255771</v>
      </c>
      <c r="L48" s="106">
        <f>SUM(L36:L47)</f>
        <v>317831</v>
      </c>
      <c r="M48" s="106">
        <f>SUM(M36:M47)</f>
        <v>331580</v>
      </c>
      <c r="N48" s="106">
        <f>SUM(N36:N47)</f>
        <v>298596</v>
      </c>
      <c r="O48" s="106">
        <f t="shared" ref="O48:Q48" si="0">SUM(O36:O47)</f>
        <v>104652</v>
      </c>
      <c r="P48" s="106">
        <f t="shared" si="0"/>
        <v>441618</v>
      </c>
      <c r="Q48" s="106">
        <f t="shared" si="0"/>
        <v>0</v>
      </c>
    </row>
    <row r="49" spans="1:17" ht="12.75" customHeight="1" x14ac:dyDescent="0.2">
      <c r="A49" s="89">
        <v>43647</v>
      </c>
      <c r="B49" s="90">
        <v>156178</v>
      </c>
      <c r="C49" s="86">
        <v>195292</v>
      </c>
      <c r="D49" s="86"/>
      <c r="E49" s="86"/>
      <c r="J49" s="105" t="s">
        <v>1090</v>
      </c>
      <c r="K49" s="106"/>
      <c r="L49" s="106"/>
      <c r="M49" s="106"/>
      <c r="N49" s="106"/>
      <c r="O49" s="106"/>
      <c r="P49" s="106"/>
      <c r="Q49" s="106"/>
    </row>
    <row r="50" spans="1:17" ht="12.75" customHeight="1" x14ac:dyDescent="0.2">
      <c r="A50" s="89">
        <v>43678</v>
      </c>
      <c r="B50" s="90">
        <v>156177</v>
      </c>
      <c r="C50" s="86">
        <v>195292</v>
      </c>
      <c r="D50" s="86"/>
      <c r="E50" s="86"/>
      <c r="J50" s="426" t="s">
        <v>18</v>
      </c>
      <c r="K50" s="427">
        <f>K49+K48</f>
        <v>255771</v>
      </c>
      <c r="L50" s="427">
        <f>L49+L48</f>
        <v>317831</v>
      </c>
      <c r="M50" s="427">
        <f>M49+M48</f>
        <v>331580</v>
      </c>
      <c r="N50" s="427"/>
      <c r="O50" s="427"/>
      <c r="P50" s="427"/>
      <c r="Q50" s="427"/>
    </row>
    <row r="51" spans="1:17" ht="12.75" customHeight="1" x14ac:dyDescent="0.25">
      <c r="A51" s="89">
        <v>43709</v>
      </c>
      <c r="B51" s="90">
        <v>156178</v>
      </c>
      <c r="C51" s="86">
        <v>195292</v>
      </c>
      <c r="D51" s="86"/>
      <c r="E51" s="86"/>
      <c r="J51"/>
      <c r="K51"/>
      <c r="L51"/>
      <c r="M51" s="11"/>
      <c r="N51"/>
      <c r="O51"/>
      <c r="P51"/>
    </row>
    <row r="52" spans="1:17" ht="12.75" customHeight="1" x14ac:dyDescent="0.2">
      <c r="A52" s="89">
        <v>43739</v>
      </c>
      <c r="B52" s="90">
        <v>156178</v>
      </c>
      <c r="C52" s="86">
        <v>195292</v>
      </c>
      <c r="D52" s="86"/>
      <c r="E52" s="86"/>
    </row>
    <row r="53" spans="1:17" ht="12.75" customHeight="1" x14ac:dyDescent="0.2">
      <c r="A53" s="89">
        <v>43770</v>
      </c>
      <c r="B53" s="90">
        <v>156178</v>
      </c>
      <c r="C53" s="86">
        <v>195292</v>
      </c>
      <c r="D53" s="86"/>
      <c r="E53" s="86"/>
    </row>
    <row r="54" spans="1:17" ht="12.75" customHeight="1" x14ac:dyDescent="0.2">
      <c r="A54" s="89">
        <v>43800</v>
      </c>
      <c r="B54" s="90">
        <v>156177</v>
      </c>
      <c r="C54" s="86">
        <v>195292</v>
      </c>
      <c r="D54" s="86"/>
      <c r="E54" s="86"/>
    </row>
    <row r="55" spans="1:17" ht="12.75" customHeight="1" x14ac:dyDescent="0.2">
      <c r="A55" s="89">
        <v>43831</v>
      </c>
      <c r="B55" s="90">
        <v>161824</v>
      </c>
      <c r="C55" s="86">
        <v>195292</v>
      </c>
      <c r="D55" s="86"/>
      <c r="E55" s="86"/>
    </row>
    <row r="56" spans="1:17" ht="12.75" customHeight="1" x14ac:dyDescent="0.2">
      <c r="A56" s="89">
        <v>43862</v>
      </c>
      <c r="B56" s="90">
        <v>157307</v>
      </c>
      <c r="C56" s="86">
        <v>195292</v>
      </c>
      <c r="D56" s="86"/>
      <c r="E56" s="86"/>
    </row>
    <row r="57" spans="1:17" ht="12.75" customHeight="1" x14ac:dyDescent="0.2">
      <c r="A57" s="89">
        <v>43891</v>
      </c>
      <c r="B57" s="90"/>
      <c r="C57" s="86">
        <v>195292</v>
      </c>
      <c r="D57" s="86"/>
      <c r="E57" s="86"/>
    </row>
    <row r="58" spans="1:17" ht="12.75" customHeight="1" x14ac:dyDescent="0.2">
      <c r="A58" s="47">
        <v>43922</v>
      </c>
      <c r="B58" s="10"/>
      <c r="C58" s="86"/>
      <c r="D58" s="86"/>
      <c r="E58" s="86"/>
    </row>
    <row r="59" spans="1:17" ht="12.75" customHeight="1" x14ac:dyDescent="0.2">
      <c r="A59" s="47">
        <v>43952</v>
      </c>
      <c r="B59" s="10"/>
      <c r="C59" s="86"/>
      <c r="D59" s="86"/>
      <c r="E59" s="86"/>
    </row>
    <row r="60" spans="1:17" ht="12.75" customHeight="1" x14ac:dyDescent="0.2">
      <c r="A60" s="47">
        <v>43983</v>
      </c>
      <c r="B60" s="10"/>
      <c r="C60" s="86"/>
      <c r="D60" s="86"/>
      <c r="E60" s="86"/>
    </row>
    <row r="61" spans="1:17" ht="12.75" customHeight="1" x14ac:dyDescent="0.2">
      <c r="A61" s="47">
        <v>44013</v>
      </c>
      <c r="B61" s="10"/>
      <c r="C61" s="86"/>
      <c r="D61" s="86"/>
      <c r="E61" s="86"/>
    </row>
    <row r="62" spans="1:17" ht="12.75" customHeight="1" x14ac:dyDescent="0.2">
      <c r="A62" s="47">
        <v>44044</v>
      </c>
      <c r="B62" s="10"/>
      <c r="C62" s="86"/>
      <c r="D62" s="86"/>
      <c r="E62" s="86"/>
    </row>
    <row r="63" spans="1:17" ht="12.75" customHeight="1" x14ac:dyDescent="0.2">
      <c r="A63" s="47">
        <v>44075</v>
      </c>
      <c r="B63" s="10"/>
      <c r="C63" s="86"/>
      <c r="D63" s="86"/>
      <c r="E63" s="86"/>
    </row>
    <row r="64" spans="1:17" ht="12.75" customHeight="1" x14ac:dyDescent="0.2">
      <c r="A64" s="47">
        <v>44105</v>
      </c>
      <c r="B64" s="10"/>
      <c r="C64" s="86"/>
      <c r="D64" s="86"/>
      <c r="E64" s="86"/>
    </row>
    <row r="65" spans="1:5" ht="12.75" customHeight="1" x14ac:dyDescent="0.2">
      <c r="A65" s="47">
        <v>44136</v>
      </c>
      <c r="B65" s="10"/>
      <c r="C65" s="86"/>
      <c r="D65" s="86"/>
      <c r="E65" s="86"/>
    </row>
    <row r="66" spans="1:5" ht="12.75" customHeight="1" x14ac:dyDescent="0.2">
      <c r="A66" s="47">
        <v>44166</v>
      </c>
      <c r="B66" s="10"/>
      <c r="C66" s="86"/>
      <c r="D66" s="86"/>
      <c r="E66" s="86"/>
    </row>
    <row r="67" spans="1:5" ht="12.75" customHeight="1" x14ac:dyDescent="0.2">
      <c r="A67" s="47">
        <v>44197</v>
      </c>
      <c r="B67" s="10">
        <v>165114</v>
      </c>
      <c r="C67" s="86"/>
      <c r="D67" s="86"/>
      <c r="E67" s="86"/>
    </row>
    <row r="68" spans="1:5" ht="12.75" customHeight="1" x14ac:dyDescent="0.2">
      <c r="A68" s="47">
        <v>44228</v>
      </c>
      <c r="B68" s="10">
        <v>149417</v>
      </c>
      <c r="C68" s="86"/>
      <c r="D68" s="86"/>
      <c r="E68" s="86"/>
    </row>
    <row r="69" spans="1:5" ht="12.75" customHeight="1" x14ac:dyDescent="0.2">
      <c r="A69" s="47">
        <v>44256</v>
      </c>
      <c r="B69" s="10">
        <v>149472</v>
      </c>
      <c r="C69" s="86"/>
      <c r="D69" s="86"/>
      <c r="E69" s="86"/>
    </row>
    <row r="70" spans="1:5" ht="12.75" customHeight="1" x14ac:dyDescent="0.2">
      <c r="A70" s="89">
        <v>44287</v>
      </c>
      <c r="B70" s="425">
        <v>137577</v>
      </c>
    </row>
    <row r="71" spans="1:5" ht="12.75" customHeight="1" x14ac:dyDescent="0.2">
      <c r="A71" s="89">
        <v>44317</v>
      </c>
      <c r="B71" s="425">
        <v>134851.66</v>
      </c>
    </row>
    <row r="72" spans="1:5" ht="12.75" customHeight="1" x14ac:dyDescent="0.2">
      <c r="A72" s="89">
        <v>44348</v>
      </c>
      <c r="B72" s="425">
        <v>136514</v>
      </c>
    </row>
    <row r="73" spans="1:5" ht="12.75" customHeight="1" x14ac:dyDescent="0.2">
      <c r="A73" s="89">
        <v>44378</v>
      </c>
      <c r="B73" s="425">
        <v>178790.33</v>
      </c>
      <c r="C73" s="48">
        <v>44233</v>
      </c>
    </row>
    <row r="74" spans="1:5" ht="12.75" customHeight="1" x14ac:dyDescent="0.2">
      <c r="A74" s="89">
        <v>44409</v>
      </c>
      <c r="B74" s="425">
        <v>141152</v>
      </c>
    </row>
    <row r="75" spans="1:5" ht="12.75" customHeight="1" x14ac:dyDescent="0.2">
      <c r="A75" s="89">
        <v>44440</v>
      </c>
      <c r="B75" s="425">
        <v>152103</v>
      </c>
      <c r="C75" s="48">
        <v>5364</v>
      </c>
    </row>
    <row r="76" spans="1:5" ht="12.75" customHeight="1" x14ac:dyDescent="0.2">
      <c r="A76" s="89">
        <v>44470</v>
      </c>
      <c r="B76" s="425">
        <v>183351</v>
      </c>
    </row>
    <row r="77" spans="1:5" ht="12.75" customHeight="1" x14ac:dyDescent="0.2">
      <c r="A77" s="89">
        <v>44501</v>
      </c>
      <c r="B77" s="425">
        <v>183519</v>
      </c>
    </row>
    <row r="78" spans="1:5" ht="12.75" customHeight="1" x14ac:dyDescent="0.2">
      <c r="A78" s="89">
        <v>44531</v>
      </c>
      <c r="B78" s="425">
        <v>183730</v>
      </c>
    </row>
    <row r="79" spans="1:5" ht="12.75" customHeight="1" x14ac:dyDescent="0.2">
      <c r="A79" s="89">
        <v>44562</v>
      </c>
      <c r="B79" s="425">
        <v>228811</v>
      </c>
    </row>
    <row r="80" spans="1:5" ht="12.75" customHeight="1" x14ac:dyDescent="0.2">
      <c r="A80" s="89">
        <v>44593</v>
      </c>
      <c r="B80" s="425">
        <v>148615</v>
      </c>
    </row>
    <row r="81" spans="1:2" ht="12.75" customHeight="1" x14ac:dyDescent="0.2">
      <c r="A81" s="89">
        <v>44621</v>
      </c>
      <c r="B81" s="425"/>
    </row>
    <row r="82" spans="1:2" ht="12.75" customHeight="1" x14ac:dyDescent="0.2">
      <c r="A82" s="47">
        <v>44652</v>
      </c>
      <c r="B82" s="91"/>
    </row>
    <row r="83" spans="1:2" ht="12.75" customHeight="1" x14ac:dyDescent="0.2">
      <c r="A83" s="47">
        <v>44682</v>
      </c>
      <c r="B83" s="91"/>
    </row>
    <row r="126" spans="6:6" ht="12.75" customHeight="1" x14ac:dyDescent="0.2">
      <c r="F126" s="48">
        <v>6000</v>
      </c>
    </row>
    <row r="127" spans="6:6" ht="12.75" customHeight="1" x14ac:dyDescent="0.2">
      <c r="F127" s="48">
        <v>29</v>
      </c>
    </row>
    <row r="128" spans="6:6" ht="12.75" customHeight="1" x14ac:dyDescent="0.2">
      <c r="F128" s="48">
        <v>23</v>
      </c>
    </row>
    <row r="129" spans="6:6" ht="12.75" customHeight="1" x14ac:dyDescent="0.2">
      <c r="F129" s="48">
        <v>33</v>
      </c>
    </row>
    <row r="130" spans="6:6" ht="12.75" customHeight="1" x14ac:dyDescent="0.2">
      <c r="F130" s="48">
        <v>14</v>
      </c>
    </row>
    <row r="131" spans="6:6" ht="12.75" customHeight="1" x14ac:dyDescent="0.2">
      <c r="F131" s="48">
        <v>5000</v>
      </c>
    </row>
    <row r="132" spans="6:6" ht="12.75" customHeight="1" x14ac:dyDescent="0.2">
      <c r="F132" s="48">
        <v>2588</v>
      </c>
    </row>
    <row r="133" spans="6:6" ht="12.75" customHeight="1" x14ac:dyDescent="0.2">
      <c r="F133" s="48">
        <v>13</v>
      </c>
    </row>
    <row r="134" spans="6:6" ht="12.75" customHeight="1" x14ac:dyDescent="0.2">
      <c r="F134" s="48">
        <v>-1647.48</v>
      </c>
    </row>
    <row r="135" spans="6:6" ht="12.75" customHeight="1" x14ac:dyDescent="0.2">
      <c r="F135" s="48">
        <v>-145.99</v>
      </c>
    </row>
    <row r="136" spans="6:6" ht="12.75" customHeight="1" x14ac:dyDescent="0.2">
      <c r="F136" s="48">
        <v>-26.28</v>
      </c>
    </row>
    <row r="137" spans="6:6" ht="12.75" customHeight="1" x14ac:dyDescent="0.2">
      <c r="F137" s="48">
        <v>-49.98</v>
      </c>
    </row>
    <row r="138" spans="6:6" ht="12.75" customHeight="1" x14ac:dyDescent="0.2">
      <c r="F138" s="48">
        <v>-57.94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CEF9-D65C-4B6D-8A39-8C08E6D69FA3}">
  <sheetPr codeName="Sheet3"/>
  <dimension ref="A1:P70"/>
  <sheetViews>
    <sheetView topLeftCell="A46" workbookViewId="0">
      <selection activeCell="M55" sqref="M55"/>
    </sheetView>
  </sheetViews>
  <sheetFormatPr defaultColWidth="12.28515625" defaultRowHeight="15" x14ac:dyDescent="0.25"/>
  <cols>
    <col min="2" max="2" width="13.140625" bestFit="1" customWidth="1"/>
    <col min="15" max="15" width="17.5703125" bestFit="1" customWidth="1"/>
    <col min="16" max="16" width="9.85546875" bestFit="1" customWidth="1"/>
  </cols>
  <sheetData>
    <row r="1" spans="1:16" x14ac:dyDescent="0.25">
      <c r="A1" s="1" t="s">
        <v>1</v>
      </c>
      <c r="B1" s="1" t="s">
        <v>210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92" t="s">
        <v>217</v>
      </c>
    </row>
    <row r="2" spans="1:16" x14ac:dyDescent="0.25">
      <c r="A2" s="202">
        <v>43942</v>
      </c>
      <c r="B2" s="1" t="s">
        <v>218</v>
      </c>
      <c r="C2" s="1">
        <v>29.8</v>
      </c>
      <c r="D2" s="1">
        <v>300</v>
      </c>
      <c r="E2" s="21">
        <f>D2*C2</f>
        <v>8940</v>
      </c>
      <c r="F2" s="21">
        <v>27.8</v>
      </c>
      <c r="G2" s="21">
        <f>F2*D2</f>
        <v>8340</v>
      </c>
      <c r="H2" s="21">
        <f>G2-E2</f>
        <v>-600</v>
      </c>
    </row>
    <row r="3" spans="1:16" x14ac:dyDescent="0.25">
      <c r="A3" s="179">
        <v>43958</v>
      </c>
      <c r="B3" s="1" t="s">
        <v>219</v>
      </c>
      <c r="C3" s="1">
        <v>98</v>
      </c>
      <c r="D3" s="1">
        <v>44</v>
      </c>
      <c r="E3" s="21">
        <f t="shared" ref="E3:E5" si="0">D3*C3</f>
        <v>4312</v>
      </c>
      <c r="F3" s="21">
        <v>98.21</v>
      </c>
      <c r="G3" s="21">
        <f t="shared" ref="G3:G5" si="1">F3*D3</f>
        <v>4321.24</v>
      </c>
      <c r="H3" s="21">
        <f t="shared" ref="H3:H5" si="2">G3-E3</f>
        <v>9.2399999999997817</v>
      </c>
    </row>
    <row r="4" spans="1:16" x14ac:dyDescent="0.25">
      <c r="A4" s="179">
        <v>43962</v>
      </c>
      <c r="B4" s="1" t="s">
        <v>220</v>
      </c>
      <c r="C4" s="1">
        <v>42.95</v>
      </c>
      <c r="D4" s="1">
        <v>1200</v>
      </c>
      <c r="E4" s="21">
        <f t="shared" si="0"/>
        <v>51540</v>
      </c>
      <c r="F4" s="21">
        <v>43.1</v>
      </c>
      <c r="G4" s="21">
        <f t="shared" si="1"/>
        <v>51720</v>
      </c>
      <c r="H4" s="21">
        <f t="shared" si="2"/>
        <v>180</v>
      </c>
    </row>
    <row r="5" spans="1:16" x14ac:dyDescent="0.25">
      <c r="A5" s="1"/>
      <c r="B5" s="1" t="s">
        <v>221</v>
      </c>
      <c r="C5" s="1">
        <v>115</v>
      </c>
      <c r="D5" s="1">
        <v>100</v>
      </c>
      <c r="E5" s="21">
        <f t="shared" si="0"/>
        <v>11500</v>
      </c>
      <c r="F5" s="21">
        <v>117</v>
      </c>
      <c r="G5" s="21">
        <f t="shared" si="1"/>
        <v>11700</v>
      </c>
      <c r="H5" s="21">
        <f t="shared" si="2"/>
        <v>200</v>
      </c>
    </row>
    <row r="6" spans="1:16" x14ac:dyDescent="0.25">
      <c r="A6" s="1"/>
      <c r="B6" s="1"/>
      <c r="C6" s="1"/>
      <c r="D6" s="1"/>
      <c r="E6" s="1"/>
      <c r="F6" s="1"/>
      <c r="G6" s="1"/>
      <c r="H6" s="1"/>
    </row>
    <row r="7" spans="1:16" x14ac:dyDescent="0.25">
      <c r="A7" s="1"/>
      <c r="B7" s="1"/>
      <c r="C7" s="1"/>
      <c r="D7" s="1"/>
      <c r="E7" s="1"/>
      <c r="F7" s="1"/>
      <c r="G7" s="1"/>
      <c r="H7" s="1"/>
    </row>
    <row r="8" spans="1:16" x14ac:dyDescent="0.25">
      <c r="A8" s="1"/>
      <c r="B8" s="1"/>
      <c r="C8" s="1"/>
      <c r="D8" s="1"/>
      <c r="E8" s="1"/>
      <c r="F8" s="1"/>
      <c r="G8" s="1"/>
      <c r="H8" s="1"/>
    </row>
    <row r="9" spans="1:16" x14ac:dyDescent="0.25">
      <c r="A9" s="1"/>
      <c r="B9" s="1"/>
      <c r="C9" s="1"/>
      <c r="D9" s="1"/>
      <c r="E9" s="1"/>
      <c r="F9" s="1"/>
      <c r="G9" s="1"/>
      <c r="H9" s="1"/>
    </row>
    <row r="10" spans="1:16" x14ac:dyDescent="0.25">
      <c r="A10" s="1"/>
      <c r="B10" s="1"/>
      <c r="C10" s="1"/>
      <c r="D10" s="1"/>
      <c r="E10" s="1"/>
      <c r="F10" s="1"/>
      <c r="G10" s="1"/>
      <c r="H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</row>
    <row r="14" spans="1:16" x14ac:dyDescent="0.25">
      <c r="A14" s="589" t="s">
        <v>18</v>
      </c>
      <c r="B14" s="590"/>
      <c r="C14" s="211"/>
      <c r="D14" s="211"/>
      <c r="E14" s="21">
        <f>SUM(E2:E13)</f>
        <v>76292</v>
      </c>
      <c r="F14" s="21"/>
      <c r="G14" s="21">
        <f>SUM(G2:G13)</f>
        <v>76081.239999999991</v>
      </c>
      <c r="H14" s="21">
        <f>SUM(H2:H13)</f>
        <v>-210.76000000000022</v>
      </c>
    </row>
    <row r="16" spans="1:16" x14ac:dyDescent="0.25">
      <c r="O16" t="s">
        <v>222</v>
      </c>
      <c r="P16" s="11">
        <v>-566000</v>
      </c>
    </row>
    <row r="17" spans="1:16" x14ac:dyDescent="0.25">
      <c r="A17" t="s">
        <v>223</v>
      </c>
      <c r="O17" t="s">
        <v>224</v>
      </c>
      <c r="P17" s="11">
        <v>477225.59</v>
      </c>
    </row>
    <row r="18" spans="1:16" x14ac:dyDescent="0.25">
      <c r="O18" t="s">
        <v>225</v>
      </c>
      <c r="P18" s="11">
        <v>47057.440000000002</v>
      </c>
    </row>
    <row r="19" spans="1:16" x14ac:dyDescent="0.25">
      <c r="A19" s="202">
        <v>43943</v>
      </c>
      <c r="B19" s="1" t="s">
        <v>226</v>
      </c>
      <c r="C19" s="1">
        <v>4</v>
      </c>
      <c r="D19" s="1">
        <v>1000</v>
      </c>
      <c r="E19" s="21">
        <f t="shared" ref="E19:E32" si="3">D19*C19</f>
        <v>4000</v>
      </c>
      <c r="F19" s="21">
        <v>4.3</v>
      </c>
      <c r="G19" s="21">
        <f t="shared" ref="G19:G32" si="4">F19*D19</f>
        <v>4300</v>
      </c>
      <c r="H19" s="21">
        <f t="shared" ref="H19" si="5">G19-E19</f>
        <v>300</v>
      </c>
      <c r="I19" t="s">
        <v>227</v>
      </c>
    </row>
    <row r="20" spans="1:16" x14ac:dyDescent="0.25">
      <c r="A20" s="202">
        <v>43963</v>
      </c>
      <c r="B20" s="1" t="s">
        <v>221</v>
      </c>
      <c r="C20" s="1">
        <v>115</v>
      </c>
      <c r="D20" s="1">
        <v>100</v>
      </c>
      <c r="E20" s="21">
        <f t="shared" si="3"/>
        <v>11500</v>
      </c>
      <c r="F20" s="21">
        <v>117</v>
      </c>
      <c r="G20" s="21">
        <f t="shared" si="4"/>
        <v>11700</v>
      </c>
      <c r="H20" s="21">
        <f t="shared" ref="H20:H32" si="6">G20-E20</f>
        <v>200</v>
      </c>
      <c r="I20" t="s">
        <v>227</v>
      </c>
      <c r="O20" t="s">
        <v>228</v>
      </c>
      <c r="P20" s="11">
        <f>SUM(P16:P19)</f>
        <v>-41716.969999999972</v>
      </c>
    </row>
    <row r="21" spans="1:16" x14ac:dyDescent="0.25">
      <c r="A21" s="202">
        <v>43963</v>
      </c>
      <c r="B21" s="1" t="s">
        <v>229</v>
      </c>
      <c r="C21" s="1">
        <v>29.8</v>
      </c>
      <c r="D21" s="1">
        <v>300</v>
      </c>
      <c r="E21" s="21">
        <f t="shared" si="3"/>
        <v>8940</v>
      </c>
      <c r="F21" s="21">
        <v>27.75</v>
      </c>
      <c r="G21" s="21">
        <f t="shared" si="4"/>
        <v>8325</v>
      </c>
      <c r="H21" s="21">
        <f t="shared" si="6"/>
        <v>-615</v>
      </c>
      <c r="I21" t="s">
        <v>227</v>
      </c>
    </row>
    <row r="22" spans="1:16" x14ac:dyDescent="0.25">
      <c r="A22" s="202"/>
      <c r="B22" s="1" t="s">
        <v>230</v>
      </c>
      <c r="C22" s="1">
        <v>187.68</v>
      </c>
      <c r="D22" s="1">
        <v>500</v>
      </c>
      <c r="E22" s="21">
        <f t="shared" si="3"/>
        <v>93840</v>
      </c>
      <c r="F22" s="21">
        <v>188.33</v>
      </c>
      <c r="G22" s="21">
        <f t="shared" si="4"/>
        <v>94165</v>
      </c>
      <c r="H22" s="21">
        <v>455.5</v>
      </c>
      <c r="I22" t="s">
        <v>231</v>
      </c>
    </row>
    <row r="23" spans="1:16" x14ac:dyDescent="0.25">
      <c r="A23" s="202"/>
      <c r="B23" s="1" t="s">
        <v>232</v>
      </c>
      <c r="C23" s="1">
        <v>300.8</v>
      </c>
      <c r="D23" s="1">
        <v>1000</v>
      </c>
      <c r="E23" s="21">
        <f t="shared" si="3"/>
        <v>300800</v>
      </c>
      <c r="F23" s="21">
        <v>309.8</v>
      </c>
      <c r="G23" s="21">
        <f t="shared" si="4"/>
        <v>309800</v>
      </c>
      <c r="H23" s="21">
        <f t="shared" si="6"/>
        <v>9000</v>
      </c>
      <c r="I23" t="s">
        <v>227</v>
      </c>
    </row>
    <row r="24" spans="1:16" x14ac:dyDescent="0.25">
      <c r="A24" s="202"/>
      <c r="B24" s="1" t="s">
        <v>233</v>
      </c>
      <c r="C24" s="1">
        <v>182</v>
      </c>
      <c r="D24" s="1">
        <v>40</v>
      </c>
      <c r="E24" s="21">
        <f t="shared" si="3"/>
        <v>7280</v>
      </c>
      <c r="F24" s="21">
        <v>192</v>
      </c>
      <c r="G24" s="21">
        <f t="shared" si="4"/>
        <v>7680</v>
      </c>
      <c r="H24" s="21">
        <f t="shared" si="6"/>
        <v>400</v>
      </c>
      <c r="I24" t="s">
        <v>227</v>
      </c>
    </row>
    <row r="25" spans="1:16" x14ac:dyDescent="0.25">
      <c r="A25" s="202"/>
      <c r="B25" s="1" t="s">
        <v>234</v>
      </c>
      <c r="C25" s="1">
        <v>404</v>
      </c>
      <c r="D25" s="1">
        <v>450</v>
      </c>
      <c r="E25" s="21">
        <f t="shared" si="3"/>
        <v>181800</v>
      </c>
      <c r="F25" s="21">
        <v>356</v>
      </c>
      <c r="G25" s="21">
        <f t="shared" si="4"/>
        <v>160200</v>
      </c>
      <c r="H25" s="21">
        <f t="shared" si="6"/>
        <v>-21600</v>
      </c>
      <c r="I25" t="s">
        <v>227</v>
      </c>
    </row>
    <row r="26" spans="1:16" x14ac:dyDescent="0.25">
      <c r="A26" s="202"/>
      <c r="B26" s="1" t="s">
        <v>232</v>
      </c>
      <c r="C26" s="1">
        <v>363</v>
      </c>
      <c r="D26" s="1">
        <v>700</v>
      </c>
      <c r="E26" s="21">
        <f t="shared" si="3"/>
        <v>254100</v>
      </c>
      <c r="F26" s="21">
        <v>310.5</v>
      </c>
      <c r="G26" s="21">
        <f t="shared" si="4"/>
        <v>217350</v>
      </c>
      <c r="H26" s="21">
        <f t="shared" si="6"/>
        <v>-36750</v>
      </c>
      <c r="I26" t="s">
        <v>227</v>
      </c>
      <c r="J26" t="s">
        <v>235</v>
      </c>
    </row>
    <row r="27" spans="1:16" x14ac:dyDescent="0.25">
      <c r="A27" s="202"/>
      <c r="B27" s="1" t="s">
        <v>221</v>
      </c>
      <c r="C27" s="1">
        <v>118</v>
      </c>
      <c r="D27" s="1">
        <v>300</v>
      </c>
      <c r="E27" s="21">
        <f t="shared" si="3"/>
        <v>35400</v>
      </c>
      <c r="F27" s="21">
        <v>113.45</v>
      </c>
      <c r="G27" s="21">
        <f t="shared" si="4"/>
        <v>34035</v>
      </c>
      <c r="H27" s="21">
        <f t="shared" si="6"/>
        <v>-1365</v>
      </c>
    </row>
    <row r="28" spans="1:16" x14ac:dyDescent="0.25">
      <c r="A28" s="202"/>
      <c r="B28" s="1"/>
      <c r="C28" s="1"/>
      <c r="D28" s="1"/>
      <c r="E28" s="21">
        <f t="shared" si="3"/>
        <v>0</v>
      </c>
      <c r="F28" s="21"/>
      <c r="G28" s="21">
        <f t="shared" si="4"/>
        <v>0</v>
      </c>
      <c r="H28" s="21">
        <f t="shared" si="6"/>
        <v>0</v>
      </c>
    </row>
    <row r="29" spans="1:16" x14ac:dyDescent="0.25">
      <c r="A29" s="202"/>
      <c r="B29" s="1"/>
      <c r="C29" s="1"/>
      <c r="D29" s="1"/>
      <c r="E29" s="21">
        <f t="shared" si="3"/>
        <v>0</v>
      </c>
      <c r="F29" s="21"/>
      <c r="G29" s="21">
        <f t="shared" si="4"/>
        <v>0</v>
      </c>
      <c r="H29" s="21">
        <f t="shared" si="6"/>
        <v>0</v>
      </c>
    </row>
    <row r="30" spans="1:16" x14ac:dyDescent="0.25">
      <c r="A30" s="202"/>
      <c r="B30" s="1"/>
      <c r="C30" s="1"/>
      <c r="D30" s="1"/>
      <c r="E30" s="21">
        <f t="shared" si="3"/>
        <v>0</v>
      </c>
      <c r="F30" s="21"/>
      <c r="G30" s="21">
        <f t="shared" si="4"/>
        <v>0</v>
      </c>
      <c r="H30" s="21">
        <f t="shared" si="6"/>
        <v>0</v>
      </c>
    </row>
    <row r="31" spans="1:16" x14ac:dyDescent="0.25">
      <c r="A31" s="202"/>
      <c r="B31" s="1"/>
      <c r="C31" s="1"/>
      <c r="D31" s="1"/>
      <c r="E31" s="21">
        <f t="shared" si="3"/>
        <v>0</v>
      </c>
      <c r="F31" s="21"/>
      <c r="G31" s="21">
        <f t="shared" si="4"/>
        <v>0</v>
      </c>
      <c r="H31" s="21">
        <f t="shared" si="6"/>
        <v>0</v>
      </c>
    </row>
    <row r="32" spans="1:16" x14ac:dyDescent="0.25">
      <c r="A32" s="202"/>
      <c r="B32" s="1"/>
      <c r="C32" s="1"/>
      <c r="D32" s="1"/>
      <c r="E32" s="21">
        <f t="shared" si="3"/>
        <v>0</v>
      </c>
      <c r="F32" s="21"/>
      <c r="G32" s="21">
        <f t="shared" si="4"/>
        <v>0</v>
      </c>
      <c r="H32" s="21">
        <f t="shared" si="6"/>
        <v>0</v>
      </c>
    </row>
    <row r="34" spans="1:10" x14ac:dyDescent="0.25">
      <c r="G34" t="s">
        <v>18</v>
      </c>
      <c r="H34" s="22">
        <f>SUM(H19:H33)</f>
        <v>-49974.5</v>
      </c>
    </row>
    <row r="37" spans="1:10" x14ac:dyDescent="0.25">
      <c r="C37" t="s">
        <v>236</v>
      </c>
      <c r="D37" t="s">
        <v>212</v>
      </c>
      <c r="F37" t="s">
        <v>237</v>
      </c>
    </row>
    <row r="38" spans="1:10" x14ac:dyDescent="0.25">
      <c r="A38" s="202">
        <v>43979</v>
      </c>
      <c r="B38" s="1" t="s">
        <v>232</v>
      </c>
      <c r="C38" s="1">
        <v>324</v>
      </c>
      <c r="D38" s="1">
        <v>1000</v>
      </c>
      <c r="E38" s="21">
        <f t="shared" ref="E38:E51" si="7">D38*C38</f>
        <v>324000</v>
      </c>
      <c r="F38" s="21">
        <v>326</v>
      </c>
      <c r="G38" s="21">
        <f t="shared" ref="G38:G51" si="8">F38*D38</f>
        <v>326000</v>
      </c>
      <c r="H38" s="21">
        <f t="shared" ref="H38:H41" si="9">G38-E38</f>
        <v>2000</v>
      </c>
      <c r="I38">
        <v>-261.35000000000002</v>
      </c>
    </row>
    <row r="39" spans="1:10" x14ac:dyDescent="0.25">
      <c r="A39" s="202"/>
      <c r="B39" s="1" t="s">
        <v>238</v>
      </c>
      <c r="C39" s="1"/>
      <c r="D39" s="1">
        <v>500</v>
      </c>
      <c r="E39" s="21">
        <f t="shared" si="7"/>
        <v>0</v>
      </c>
      <c r="F39" s="21">
        <v>974</v>
      </c>
      <c r="G39" s="21">
        <f t="shared" si="8"/>
        <v>487000</v>
      </c>
      <c r="H39" s="21">
        <f t="shared" si="9"/>
        <v>487000</v>
      </c>
      <c r="I39">
        <v>-164.77</v>
      </c>
    </row>
    <row r="40" spans="1:10" x14ac:dyDescent="0.25">
      <c r="A40" s="202"/>
      <c r="B40" s="1" t="s">
        <v>238</v>
      </c>
      <c r="C40" s="1"/>
      <c r="D40" s="1">
        <v>500</v>
      </c>
      <c r="E40" s="21">
        <f t="shared" si="7"/>
        <v>0</v>
      </c>
      <c r="F40" s="21">
        <v>980</v>
      </c>
      <c r="G40" s="21">
        <f t="shared" si="8"/>
        <v>490000</v>
      </c>
      <c r="H40" s="21">
        <f t="shared" si="9"/>
        <v>490000</v>
      </c>
      <c r="I40">
        <v>-165.88</v>
      </c>
    </row>
    <row r="41" spans="1:10" x14ac:dyDescent="0.25">
      <c r="A41" s="202"/>
      <c r="B41" s="1" t="s">
        <v>238</v>
      </c>
      <c r="C41" s="1"/>
      <c r="D41" s="1">
        <v>1000</v>
      </c>
      <c r="E41" s="21">
        <f t="shared" si="7"/>
        <v>0</v>
      </c>
      <c r="F41" s="21">
        <v>982</v>
      </c>
      <c r="G41" s="21">
        <f t="shared" si="8"/>
        <v>982000</v>
      </c>
      <c r="H41" s="21">
        <f t="shared" si="9"/>
        <v>982000</v>
      </c>
      <c r="I41">
        <v>-308.23</v>
      </c>
    </row>
    <row r="42" spans="1:10" x14ac:dyDescent="0.25">
      <c r="A42" s="202"/>
      <c r="B42" s="1" t="s">
        <v>238</v>
      </c>
      <c r="C42" s="1">
        <v>978.6</v>
      </c>
      <c r="D42" s="1">
        <v>2000</v>
      </c>
      <c r="E42" s="21">
        <f t="shared" si="7"/>
        <v>1957200</v>
      </c>
      <c r="F42" s="21"/>
      <c r="G42" s="21">
        <f t="shared" si="8"/>
        <v>0</v>
      </c>
      <c r="H42" s="21">
        <f t="shared" ref="H42:H51" si="10">G42-E42</f>
        <v>-1957200</v>
      </c>
      <c r="I42">
        <v>-100.62</v>
      </c>
    </row>
    <row r="43" spans="1:10" x14ac:dyDescent="0.25">
      <c r="A43" s="202"/>
      <c r="B43" s="1" t="s">
        <v>239</v>
      </c>
      <c r="C43" s="1">
        <v>713.5</v>
      </c>
      <c r="D43" s="1">
        <v>1000</v>
      </c>
      <c r="E43" s="21">
        <f t="shared" si="7"/>
        <v>713500</v>
      </c>
      <c r="F43" s="21">
        <v>714</v>
      </c>
      <c r="G43" s="21">
        <f t="shared" si="8"/>
        <v>714000</v>
      </c>
      <c r="H43" s="21">
        <f t="shared" si="10"/>
        <v>500</v>
      </c>
      <c r="I43">
        <v>-367.83</v>
      </c>
    </row>
    <row r="44" spans="1:10" x14ac:dyDescent="0.25">
      <c r="A44" s="202"/>
      <c r="B44" s="1"/>
      <c r="C44" s="1"/>
      <c r="D44" s="1">
        <v>450</v>
      </c>
      <c r="E44" s="21">
        <f t="shared" si="7"/>
        <v>0</v>
      </c>
      <c r="F44" s="21"/>
      <c r="G44" s="21">
        <f t="shared" si="8"/>
        <v>0</v>
      </c>
      <c r="H44" s="21">
        <f t="shared" si="10"/>
        <v>0</v>
      </c>
      <c r="J44" s="1">
        <v>2931.32</v>
      </c>
    </row>
    <row r="45" spans="1:10" x14ac:dyDescent="0.25">
      <c r="A45" s="202"/>
      <c r="B45" s="1"/>
      <c r="C45" s="1"/>
      <c r="D45" s="1">
        <v>700</v>
      </c>
      <c r="E45" s="21">
        <f t="shared" si="7"/>
        <v>0</v>
      </c>
      <c r="F45" s="21"/>
      <c r="G45" s="21">
        <f t="shared" si="8"/>
        <v>0</v>
      </c>
      <c r="H45" s="21">
        <f t="shared" si="10"/>
        <v>0</v>
      </c>
      <c r="J45" s="119">
        <v>476638.74</v>
      </c>
    </row>
    <row r="46" spans="1:10" x14ac:dyDescent="0.25">
      <c r="A46" s="202"/>
      <c r="B46" s="1"/>
      <c r="C46" s="1"/>
      <c r="D46" s="1">
        <v>300</v>
      </c>
      <c r="E46" s="21">
        <f t="shared" si="7"/>
        <v>0</v>
      </c>
      <c r="F46" s="21"/>
      <c r="G46" s="21">
        <f t="shared" si="8"/>
        <v>0</v>
      </c>
      <c r="H46" s="21">
        <f t="shared" si="10"/>
        <v>0</v>
      </c>
    </row>
    <row r="47" spans="1:10" x14ac:dyDescent="0.25">
      <c r="A47" s="202"/>
      <c r="B47" s="1"/>
      <c r="C47" s="1"/>
      <c r="D47" s="1"/>
      <c r="E47" s="21" t="s">
        <v>240</v>
      </c>
      <c r="F47" s="21"/>
      <c r="G47" s="21">
        <f t="shared" si="8"/>
        <v>0</v>
      </c>
      <c r="H47" s="21" t="e">
        <f t="shared" si="10"/>
        <v>#VALUE!</v>
      </c>
    </row>
    <row r="48" spans="1:10" x14ac:dyDescent="0.25">
      <c r="A48" s="202"/>
      <c r="B48" s="1"/>
      <c r="C48" s="1"/>
      <c r="D48" s="1"/>
      <c r="E48" s="21">
        <f t="shared" si="7"/>
        <v>0</v>
      </c>
      <c r="F48" s="21"/>
      <c r="G48" s="21">
        <f t="shared" si="8"/>
        <v>0</v>
      </c>
      <c r="H48" s="21">
        <f t="shared" si="10"/>
        <v>0</v>
      </c>
    </row>
    <row r="49" spans="1:13" x14ac:dyDescent="0.25">
      <c r="A49" s="202"/>
      <c r="B49" s="1"/>
      <c r="C49" s="1"/>
      <c r="D49" s="1"/>
      <c r="E49" s="21">
        <f t="shared" si="7"/>
        <v>0</v>
      </c>
      <c r="F49" s="21"/>
      <c r="G49" s="21">
        <f t="shared" si="8"/>
        <v>0</v>
      </c>
      <c r="H49" s="21">
        <f t="shared" si="10"/>
        <v>0</v>
      </c>
    </row>
    <row r="50" spans="1:13" x14ac:dyDescent="0.25">
      <c r="A50" s="202"/>
      <c r="B50" s="1"/>
      <c r="C50" s="1"/>
      <c r="D50" s="1"/>
      <c r="E50" s="21">
        <f t="shared" si="7"/>
        <v>0</v>
      </c>
      <c r="F50" s="21"/>
      <c r="G50" s="21">
        <f t="shared" si="8"/>
        <v>0</v>
      </c>
      <c r="H50" s="21">
        <f t="shared" si="10"/>
        <v>0</v>
      </c>
    </row>
    <row r="51" spans="1:13" x14ac:dyDescent="0.25">
      <c r="A51" s="202"/>
      <c r="B51" s="1"/>
      <c r="C51" s="1"/>
      <c r="D51" s="1"/>
      <c r="E51" s="21">
        <f t="shared" si="7"/>
        <v>0</v>
      </c>
      <c r="F51" s="21"/>
      <c r="G51" s="21">
        <f t="shared" si="8"/>
        <v>0</v>
      </c>
      <c r="H51" s="21">
        <f t="shared" si="10"/>
        <v>0</v>
      </c>
    </row>
    <row r="53" spans="1:13" x14ac:dyDescent="0.25">
      <c r="G53" t="s">
        <v>18</v>
      </c>
      <c r="H53" s="22" t="e">
        <f>SUM(H38:H52)</f>
        <v>#VALUE!</v>
      </c>
    </row>
    <row r="55" spans="1:13" x14ac:dyDescent="0.25">
      <c r="L55" t="s">
        <v>241</v>
      </c>
      <c r="M55" s="119">
        <v>221659</v>
      </c>
    </row>
    <row r="60" spans="1:13" x14ac:dyDescent="0.25">
      <c r="A60" s="1" t="s">
        <v>210</v>
      </c>
      <c r="B60" s="1" t="s">
        <v>212</v>
      </c>
      <c r="C60" s="1" t="s">
        <v>236</v>
      </c>
      <c r="D60" s="1" t="s">
        <v>242</v>
      </c>
      <c r="E60" s="1" t="s">
        <v>243</v>
      </c>
      <c r="F60" s="1" t="s">
        <v>242</v>
      </c>
      <c r="G60" s="1" t="s">
        <v>244</v>
      </c>
      <c r="H60" s="1" t="s">
        <v>245</v>
      </c>
      <c r="I60" s="1" t="s">
        <v>246</v>
      </c>
      <c r="K60" t="s">
        <v>247</v>
      </c>
    </row>
    <row r="61" spans="1:13" x14ac:dyDescent="0.25">
      <c r="A61" s="1" t="s">
        <v>248</v>
      </c>
      <c r="B61" s="1">
        <v>1000</v>
      </c>
      <c r="C61" s="1">
        <v>322.5</v>
      </c>
      <c r="D61" s="1">
        <f>C61*B61</f>
        <v>322500</v>
      </c>
      <c r="E61" s="1">
        <v>370</v>
      </c>
      <c r="F61" s="1">
        <f>E61*B61</f>
        <v>370000</v>
      </c>
      <c r="G61" s="1">
        <v>335.53</v>
      </c>
      <c r="H61" s="1">
        <v>384.36</v>
      </c>
      <c r="I61" s="1">
        <f>(F61-D61)-(H61+G61)</f>
        <v>46780.11</v>
      </c>
    </row>
    <row r="62" spans="1:13" x14ac:dyDescent="0.25">
      <c r="A62" s="1" t="s">
        <v>248</v>
      </c>
      <c r="B62" s="1">
        <v>500</v>
      </c>
      <c r="C62" s="1">
        <v>364</v>
      </c>
      <c r="D62" s="1">
        <f t="shared" ref="D62:D69" si="11">C62*B62</f>
        <v>182000</v>
      </c>
      <c r="E62" s="1">
        <v>356.85</v>
      </c>
      <c r="F62" s="1">
        <f t="shared" ref="F62:F69" si="12">E62*B62</f>
        <v>178425</v>
      </c>
      <c r="G62" s="1">
        <v>189.06</v>
      </c>
      <c r="H62" s="1"/>
      <c r="I62" s="1">
        <f t="shared" ref="I62:I64" si="13">(F62-D62)-(H62+G62)</f>
        <v>-3764.06</v>
      </c>
    </row>
    <row r="63" spans="1:13" x14ac:dyDescent="0.25">
      <c r="A63" s="1" t="s">
        <v>249</v>
      </c>
      <c r="B63" s="1">
        <v>500</v>
      </c>
      <c r="C63" s="1">
        <v>447</v>
      </c>
      <c r="D63" s="1">
        <f t="shared" si="11"/>
        <v>223500</v>
      </c>
      <c r="E63" s="1">
        <v>432.35</v>
      </c>
      <c r="F63" s="1">
        <f t="shared" si="12"/>
        <v>216175</v>
      </c>
      <c r="G63" s="1">
        <v>232.68</v>
      </c>
      <c r="H63" s="1"/>
      <c r="I63" s="1">
        <f t="shared" si="13"/>
        <v>-7557.68</v>
      </c>
    </row>
    <row r="64" spans="1:13" x14ac:dyDescent="0.25">
      <c r="A64" s="1" t="s">
        <v>250</v>
      </c>
      <c r="B64" s="1">
        <v>1800</v>
      </c>
      <c r="C64" s="1">
        <v>61</v>
      </c>
      <c r="D64" s="1">
        <f t="shared" si="11"/>
        <v>109800</v>
      </c>
      <c r="E64" s="1">
        <v>60.2</v>
      </c>
      <c r="F64" s="1">
        <f t="shared" si="12"/>
        <v>108360</v>
      </c>
      <c r="G64" s="1">
        <v>114.26</v>
      </c>
      <c r="H64" s="1">
        <v>150</v>
      </c>
      <c r="I64" s="1">
        <f t="shared" si="13"/>
        <v>-1704.26</v>
      </c>
      <c r="K64">
        <v>-26691</v>
      </c>
      <c r="L64" s="119"/>
    </row>
    <row r="65" spans="1:9" x14ac:dyDescent="0.25">
      <c r="A65" s="1"/>
      <c r="B65" s="1"/>
      <c r="C65" s="1"/>
      <c r="D65" s="1">
        <f t="shared" si="11"/>
        <v>0</v>
      </c>
      <c r="E65" s="1"/>
      <c r="F65" s="1">
        <f t="shared" si="12"/>
        <v>0</v>
      </c>
      <c r="G65" s="1"/>
      <c r="H65" s="1"/>
      <c r="I65" s="1"/>
    </row>
    <row r="66" spans="1:9" x14ac:dyDescent="0.25">
      <c r="A66" s="1"/>
      <c r="B66" s="1"/>
      <c r="C66" s="1"/>
      <c r="D66" s="1">
        <f t="shared" si="11"/>
        <v>0</v>
      </c>
      <c r="E66" s="1"/>
      <c r="F66" s="1">
        <f t="shared" si="12"/>
        <v>0</v>
      </c>
      <c r="G66" s="1"/>
      <c r="H66" s="1"/>
      <c r="I66" s="1"/>
    </row>
    <row r="67" spans="1:9" x14ac:dyDescent="0.25">
      <c r="A67" s="1"/>
      <c r="B67" s="1"/>
      <c r="C67" s="1"/>
      <c r="D67" s="1">
        <f t="shared" si="11"/>
        <v>0</v>
      </c>
      <c r="E67" s="1"/>
      <c r="F67" s="1">
        <f t="shared" si="12"/>
        <v>0</v>
      </c>
      <c r="G67" s="1"/>
      <c r="H67" s="1"/>
      <c r="I67" s="1"/>
    </row>
    <row r="68" spans="1:9" x14ac:dyDescent="0.25">
      <c r="A68" s="1"/>
      <c r="B68" s="1"/>
      <c r="C68" s="1"/>
      <c r="D68" s="1">
        <f t="shared" si="11"/>
        <v>0</v>
      </c>
      <c r="E68" s="1"/>
      <c r="F68" s="1">
        <f t="shared" si="12"/>
        <v>0</v>
      </c>
      <c r="G68" s="1"/>
      <c r="H68" s="1"/>
      <c r="I68" s="1"/>
    </row>
    <row r="69" spans="1:9" x14ac:dyDescent="0.25">
      <c r="A69" s="1"/>
      <c r="B69" s="1"/>
      <c r="C69" s="1"/>
      <c r="D69" s="1">
        <f t="shared" si="11"/>
        <v>0</v>
      </c>
      <c r="E69" s="1"/>
      <c r="F69" s="1">
        <f t="shared" si="12"/>
        <v>0</v>
      </c>
      <c r="G69" s="1"/>
      <c r="H69" s="1"/>
      <c r="I69" s="1"/>
    </row>
    <row r="70" spans="1:9" x14ac:dyDescent="0.25">
      <c r="H70" s="213" t="s">
        <v>18</v>
      </c>
      <c r="I70" s="213">
        <f>SUM(I61:I68)</f>
        <v>33754.11</v>
      </c>
    </row>
  </sheetData>
  <mergeCells count="1">
    <mergeCell ref="A14:B14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/>
  <dimension ref="A2:V218"/>
  <sheetViews>
    <sheetView zoomScaleNormal="100" workbookViewId="0">
      <selection activeCell="P3" sqref="P3"/>
    </sheetView>
  </sheetViews>
  <sheetFormatPr defaultColWidth="9.140625" defaultRowHeight="12" x14ac:dyDescent="0.2"/>
  <cols>
    <col min="1" max="1" width="9.28515625" style="62" bestFit="1" customWidth="1"/>
    <col min="2" max="2" width="7.7109375" style="62" bestFit="1" customWidth="1"/>
    <col min="3" max="3" width="7.28515625" style="62" bestFit="1" customWidth="1"/>
    <col min="4" max="4" width="9.5703125" style="62" bestFit="1" customWidth="1"/>
    <col min="5" max="5" width="10.5703125" style="62" bestFit="1" customWidth="1"/>
    <col min="6" max="6" width="9.7109375" style="62" bestFit="1" customWidth="1"/>
    <col min="7" max="7" width="12.28515625" style="62" bestFit="1" customWidth="1"/>
    <col min="8" max="8" width="10.7109375" style="62" bestFit="1" customWidth="1"/>
    <col min="9" max="9" width="12" style="62" bestFit="1" customWidth="1"/>
    <col min="10" max="10" width="10.7109375" style="62" bestFit="1" customWidth="1"/>
    <col min="11" max="11" width="12.28515625" style="62" bestFit="1" customWidth="1"/>
    <col min="12" max="12" width="12" style="62" bestFit="1" customWidth="1"/>
    <col min="13" max="13" width="11.5703125" style="62" customWidth="1"/>
    <col min="14" max="14" width="14" style="62" customWidth="1"/>
    <col min="15" max="15" width="12.28515625" style="62" bestFit="1" customWidth="1"/>
    <col min="16" max="16" width="10.85546875" style="62" bestFit="1" customWidth="1"/>
    <col min="17" max="17" width="14.7109375" style="62" bestFit="1" customWidth="1"/>
    <col min="18" max="20" width="11.28515625" style="62" bestFit="1" customWidth="1"/>
    <col min="21" max="21" width="7.28515625" style="62" bestFit="1" customWidth="1"/>
    <col min="22" max="22" width="12.140625" style="62" bestFit="1" customWidth="1"/>
    <col min="23" max="16384" width="9.140625" style="62"/>
  </cols>
  <sheetData>
    <row r="2" spans="1:19" x14ac:dyDescent="0.2">
      <c r="A2" s="702" t="s">
        <v>1091</v>
      </c>
      <c r="B2" s="703"/>
      <c r="C2" s="703"/>
      <c r="D2" s="703"/>
      <c r="E2" s="703"/>
      <c r="F2" s="703"/>
      <c r="G2" s="703"/>
      <c r="H2" s="703"/>
      <c r="I2" s="703"/>
      <c r="J2" s="704"/>
      <c r="K2" s="64"/>
      <c r="N2" s="697" t="s">
        <v>193</v>
      </c>
      <c r="O2" s="697"/>
      <c r="P2" s="65" t="s">
        <v>1092</v>
      </c>
    </row>
    <row r="3" spans="1:19" ht="15" customHeight="1" x14ac:dyDescent="0.2">
      <c r="A3" s="65" t="s">
        <v>1093</v>
      </c>
      <c r="B3" s="65" t="s">
        <v>210</v>
      </c>
      <c r="C3" s="65" t="s">
        <v>212</v>
      </c>
      <c r="D3" s="65" t="s">
        <v>1094</v>
      </c>
      <c r="E3" s="65" t="s">
        <v>259</v>
      </c>
      <c r="F3" s="65" t="s">
        <v>1095</v>
      </c>
      <c r="G3" s="65" t="s">
        <v>1096</v>
      </c>
      <c r="H3" s="65" t="s">
        <v>259</v>
      </c>
      <c r="I3" s="65" t="s">
        <v>215</v>
      </c>
      <c r="J3" s="65" t="s">
        <v>1097</v>
      </c>
      <c r="K3" s="64"/>
      <c r="N3" s="66" t="s">
        <v>1098</v>
      </c>
      <c r="O3" s="74">
        <v>24000</v>
      </c>
      <c r="P3" s="698">
        <v>439512.43</v>
      </c>
    </row>
    <row r="4" spans="1:19" x14ac:dyDescent="0.2">
      <c r="A4" s="114"/>
      <c r="B4" s="71" t="s">
        <v>1099</v>
      </c>
      <c r="C4" s="71">
        <v>1000</v>
      </c>
      <c r="D4" s="72">
        <v>5.0999999999999996</v>
      </c>
      <c r="E4" s="72">
        <v>63.42</v>
      </c>
      <c r="F4" s="72">
        <f t="shared" ref="F4:F14" si="0">(D4*C4)+E4</f>
        <v>5163.42</v>
      </c>
      <c r="G4" s="72">
        <v>22.15</v>
      </c>
      <c r="H4" s="72">
        <v>190</v>
      </c>
      <c r="I4" s="67">
        <f>G4*C4</f>
        <v>22150</v>
      </c>
      <c r="J4" s="67">
        <f>I4-F4-H4</f>
        <v>16796.580000000002</v>
      </c>
      <c r="K4" s="64"/>
      <c r="N4" s="66" t="s">
        <v>1100</v>
      </c>
      <c r="O4" s="74">
        <v>50000</v>
      </c>
      <c r="P4" s="699"/>
    </row>
    <row r="5" spans="1:19" x14ac:dyDescent="0.2">
      <c r="A5" s="114"/>
      <c r="B5" s="71" t="s">
        <v>248</v>
      </c>
      <c r="C5" s="71">
        <v>10</v>
      </c>
      <c r="D5" s="72">
        <v>339</v>
      </c>
      <c r="E5" s="72">
        <v>42.61</v>
      </c>
      <c r="F5" s="72">
        <f t="shared" si="0"/>
        <v>3432.61</v>
      </c>
      <c r="G5" s="72">
        <v>306</v>
      </c>
      <c r="H5" s="72"/>
      <c r="I5" s="688">
        <v>6663.5</v>
      </c>
      <c r="J5" s="688">
        <f>I5-(F5+F6)</f>
        <v>567.21</v>
      </c>
      <c r="K5" s="706"/>
      <c r="L5" s="62">
        <v>3.25</v>
      </c>
      <c r="N5" s="66" t="s">
        <v>1101</v>
      </c>
      <c r="O5" s="74">
        <v>50000</v>
      </c>
      <c r="P5" s="699"/>
    </row>
    <row r="6" spans="1:19" x14ac:dyDescent="0.2">
      <c r="A6" s="114"/>
      <c r="B6" s="71" t="s">
        <v>248</v>
      </c>
      <c r="C6" s="71">
        <v>10</v>
      </c>
      <c r="D6" s="72">
        <v>262</v>
      </c>
      <c r="E6" s="72">
        <v>43.68</v>
      </c>
      <c r="F6" s="72">
        <f t="shared" si="0"/>
        <v>2663.68</v>
      </c>
      <c r="G6" s="72">
        <f>G5</f>
        <v>306</v>
      </c>
      <c r="H6" s="72">
        <v>0</v>
      </c>
      <c r="I6" s="689"/>
      <c r="J6" s="689"/>
      <c r="K6" s="701"/>
      <c r="L6" s="62">
        <v>3.42</v>
      </c>
      <c r="N6" s="66" t="s">
        <v>1102</v>
      </c>
      <c r="O6" s="74">
        <v>50000</v>
      </c>
      <c r="P6" s="699"/>
    </row>
    <row r="7" spans="1:19" x14ac:dyDescent="0.2">
      <c r="A7" s="114"/>
      <c r="B7" s="71" t="s">
        <v>248</v>
      </c>
      <c r="C7" s="71">
        <v>2</v>
      </c>
      <c r="D7" s="72">
        <v>0</v>
      </c>
      <c r="E7" s="72">
        <v>0</v>
      </c>
      <c r="F7" s="72">
        <f t="shared" si="0"/>
        <v>0</v>
      </c>
      <c r="G7" s="72">
        <f>G5</f>
        <v>306</v>
      </c>
      <c r="H7" s="72">
        <v>0</v>
      </c>
      <c r="I7" s="690"/>
      <c r="J7" s="690"/>
      <c r="K7" s="701"/>
      <c r="L7" s="62">
        <v>1518</v>
      </c>
      <c r="N7" s="66" t="s">
        <v>1103</v>
      </c>
      <c r="O7" s="74">
        <v>50000</v>
      </c>
      <c r="P7" s="699"/>
    </row>
    <row r="8" spans="1:19" x14ac:dyDescent="0.2">
      <c r="A8" s="114">
        <v>43704</v>
      </c>
      <c r="B8" s="66" t="s">
        <v>1104</v>
      </c>
      <c r="C8" s="66">
        <v>150</v>
      </c>
      <c r="D8" s="67">
        <v>88.4</v>
      </c>
      <c r="E8" s="67">
        <v>132</v>
      </c>
      <c r="F8" s="67">
        <f>(D8*C8)+E8</f>
        <v>13392</v>
      </c>
      <c r="G8" s="67">
        <v>42</v>
      </c>
      <c r="H8" s="67">
        <v>200</v>
      </c>
      <c r="I8" s="181">
        <f>G8*C8</f>
        <v>6300</v>
      </c>
      <c r="J8" s="181">
        <f>I8-H8-F8</f>
        <v>-7292</v>
      </c>
      <c r="K8" s="182"/>
      <c r="L8" s="62">
        <f>L7*(L6-L5)</f>
        <v>258.05999999999989</v>
      </c>
      <c r="N8" s="66" t="s">
        <v>1105</v>
      </c>
      <c r="O8" s="74">
        <v>50000</v>
      </c>
      <c r="P8" s="699"/>
    </row>
    <row r="9" spans="1:19" x14ac:dyDescent="0.2">
      <c r="A9" s="114">
        <v>43843</v>
      </c>
      <c r="B9" s="66" t="s">
        <v>1106</v>
      </c>
      <c r="C9" s="66">
        <v>1600</v>
      </c>
      <c r="D9" s="67">
        <v>4.8099999999999996</v>
      </c>
      <c r="E9" s="67">
        <v>0</v>
      </c>
      <c r="F9" s="67">
        <f>(D9*C9)+E9</f>
        <v>7695.9999999999991</v>
      </c>
      <c r="G9" s="67">
        <v>5.35</v>
      </c>
      <c r="H9" s="67">
        <v>0</v>
      </c>
      <c r="I9" s="181">
        <f>G9*C9</f>
        <v>8560</v>
      </c>
      <c r="J9" s="181">
        <f>I9-H9-F9</f>
        <v>864.00000000000091</v>
      </c>
      <c r="K9" s="182"/>
      <c r="N9" s="66"/>
      <c r="O9" s="74"/>
      <c r="P9" s="699"/>
      <c r="Q9" s="63">
        <v>43997</v>
      </c>
    </row>
    <row r="10" spans="1:19" x14ac:dyDescent="0.2">
      <c r="A10" s="114">
        <v>43839</v>
      </c>
      <c r="B10" s="66" t="s">
        <v>1104</v>
      </c>
      <c r="C10" s="66">
        <v>150</v>
      </c>
      <c r="D10" s="67">
        <v>43.2</v>
      </c>
      <c r="E10" s="67">
        <v>67</v>
      </c>
      <c r="F10" s="67">
        <f>(D10*C10)+E10</f>
        <v>6547</v>
      </c>
      <c r="G10" s="186">
        <v>32.549999999999997</v>
      </c>
      <c r="H10" s="186">
        <v>100</v>
      </c>
      <c r="I10" s="181">
        <f>G10*C10</f>
        <v>4882.5</v>
      </c>
      <c r="J10" s="181">
        <f>I10-H10-F10</f>
        <v>-1764.5</v>
      </c>
      <c r="K10" s="182"/>
      <c r="N10" s="66" t="s">
        <v>1107</v>
      </c>
      <c r="O10" s="74">
        <v>50000</v>
      </c>
      <c r="P10" s="699"/>
    </row>
    <row r="11" spans="1:19" x14ac:dyDescent="0.2">
      <c r="A11" s="114"/>
      <c r="B11" s="66" t="s">
        <v>1106</v>
      </c>
      <c r="C11" s="66">
        <v>400</v>
      </c>
      <c r="D11" s="67">
        <v>15</v>
      </c>
      <c r="E11" s="67">
        <v>58.95</v>
      </c>
      <c r="F11" s="67">
        <f t="shared" si="0"/>
        <v>6058.95</v>
      </c>
      <c r="G11" s="688">
        <v>3.25</v>
      </c>
      <c r="H11" s="688">
        <v>50</v>
      </c>
      <c r="I11" s="688">
        <f>G11*SUM(C11:C14)</f>
        <v>4933.5</v>
      </c>
      <c r="J11" s="688">
        <f>I11-H11-SUM(F11:F14)</f>
        <v>-19938.2</v>
      </c>
      <c r="K11" s="706"/>
      <c r="N11" s="66" t="s">
        <v>1108</v>
      </c>
      <c r="O11" s="74">
        <v>50000</v>
      </c>
      <c r="P11" s="699"/>
      <c r="Q11" s="131"/>
    </row>
    <row r="12" spans="1:19" x14ac:dyDescent="0.2">
      <c r="A12" s="114"/>
      <c r="B12" s="66" t="s">
        <v>1106</v>
      </c>
      <c r="C12" s="66">
        <v>118</v>
      </c>
      <c r="D12" s="67">
        <v>32.85</v>
      </c>
      <c r="E12" s="67">
        <v>37.450000000000003</v>
      </c>
      <c r="F12" s="67">
        <f t="shared" si="0"/>
        <v>3913.75</v>
      </c>
      <c r="G12" s="689"/>
      <c r="H12" s="689"/>
      <c r="I12" s="689"/>
      <c r="J12" s="689"/>
      <c r="K12" s="706"/>
      <c r="N12" s="66" t="s">
        <v>1109</v>
      </c>
      <c r="O12" s="74"/>
      <c r="P12" s="699"/>
    </row>
    <row r="13" spans="1:19" x14ac:dyDescent="0.2">
      <c r="A13" s="114">
        <v>43242</v>
      </c>
      <c r="B13" s="66" t="s">
        <v>1106</v>
      </c>
      <c r="C13" s="66">
        <v>490</v>
      </c>
      <c r="D13" s="67">
        <v>14.9</v>
      </c>
      <c r="E13" s="67"/>
      <c r="F13" s="67">
        <f>(D13*C13)+E13</f>
        <v>7301</v>
      </c>
      <c r="G13" s="689"/>
      <c r="H13" s="689"/>
      <c r="I13" s="689"/>
      <c r="J13" s="689"/>
      <c r="K13" s="706"/>
      <c r="N13" s="66" t="s">
        <v>1110</v>
      </c>
      <c r="O13" s="74"/>
      <c r="P13" s="699"/>
      <c r="S13" s="62">
        <v>119046.573</v>
      </c>
    </row>
    <row r="14" spans="1:19" x14ac:dyDescent="0.2">
      <c r="A14" s="114">
        <v>43243</v>
      </c>
      <c r="B14" s="66" t="s">
        <v>1106</v>
      </c>
      <c r="C14" s="66">
        <v>510</v>
      </c>
      <c r="D14" s="67">
        <v>14.8</v>
      </c>
      <c r="E14" s="67"/>
      <c r="F14" s="67">
        <f t="shared" si="0"/>
        <v>7548</v>
      </c>
      <c r="G14" s="690"/>
      <c r="H14" s="690"/>
      <c r="I14" s="690"/>
      <c r="J14" s="690"/>
      <c r="K14" s="706"/>
      <c r="N14" s="66" t="s">
        <v>1111</v>
      </c>
      <c r="O14" s="74"/>
      <c r="P14" s="699"/>
    </row>
    <row r="15" spans="1:19" x14ac:dyDescent="0.2">
      <c r="A15" s="76"/>
      <c r="B15" s="66"/>
      <c r="C15" s="66"/>
      <c r="D15" s="66"/>
      <c r="E15" s="66"/>
      <c r="F15" s="67">
        <f>SUM(F8:F14)</f>
        <v>52456.7</v>
      </c>
      <c r="G15" s="65"/>
      <c r="H15" s="66" t="s">
        <v>18</v>
      </c>
      <c r="I15" s="68">
        <f>SUM(I8:I14)-SUM(H8:H10)</f>
        <v>24376</v>
      </c>
      <c r="J15" s="68">
        <f>SUM(J8:J14)</f>
        <v>-28130.7</v>
      </c>
      <c r="K15" s="64"/>
      <c r="N15" s="66"/>
      <c r="O15" s="74"/>
      <c r="P15" s="699"/>
    </row>
    <row r="16" spans="1:19" x14ac:dyDescent="0.2">
      <c r="B16" s="705" t="s">
        <v>1112</v>
      </c>
      <c r="C16" s="705"/>
      <c r="D16" s="705"/>
      <c r="E16" s="705"/>
      <c r="F16" s="98">
        <f>F15-F12</f>
        <v>48542.95</v>
      </c>
      <c r="G16" s="99"/>
      <c r="H16" s="99"/>
      <c r="I16" s="98">
        <f>I15-I12</f>
        <v>24376</v>
      </c>
      <c r="J16" s="66"/>
      <c r="K16" s="64"/>
      <c r="L16" s="62">
        <v>5.6029999999999998</v>
      </c>
      <c r="N16" s="66"/>
      <c r="O16" s="74"/>
      <c r="P16" s="700"/>
    </row>
    <row r="17" spans="2:21" x14ac:dyDescent="0.2">
      <c r="B17" s="64"/>
      <c r="C17" s="64"/>
      <c r="D17" s="64"/>
      <c r="E17" s="64"/>
      <c r="F17" s="64"/>
      <c r="G17" s="64"/>
      <c r="H17" s="64"/>
      <c r="I17" s="64" t="s">
        <v>1113</v>
      </c>
      <c r="J17" s="68">
        <f>(I15-F15-(H11+H8))</f>
        <v>-28330.699999999997</v>
      </c>
      <c r="K17" s="180">
        <f>J17/F15</f>
        <v>-0.54007781656108755</v>
      </c>
      <c r="L17" s="62">
        <v>5.6950000000000003</v>
      </c>
      <c r="N17" s="66"/>
      <c r="O17" s="74">
        <f>SUM(O3:O16)</f>
        <v>374000</v>
      </c>
      <c r="P17" s="376">
        <f>P3-O17</f>
        <v>65512.429999999993</v>
      </c>
    </row>
    <row r="18" spans="2:21" x14ac:dyDescent="0.2"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2">
        <v>5.8559999999999999</v>
      </c>
      <c r="O18" s="62" t="s">
        <v>1114</v>
      </c>
      <c r="P18" s="376">
        <f>P17*100/O17</f>
        <v>17.51669251336898</v>
      </c>
    </row>
    <row r="19" spans="2:21" x14ac:dyDescent="0.2">
      <c r="B19" s="64"/>
      <c r="C19" s="64"/>
      <c r="D19" s="64"/>
      <c r="E19" s="64"/>
      <c r="F19" s="64"/>
      <c r="G19" s="64"/>
      <c r="H19" s="64"/>
      <c r="I19" s="64"/>
      <c r="J19" s="64"/>
      <c r="K19" s="64"/>
      <c r="P19" s="63"/>
    </row>
    <row r="20" spans="2:21" x14ac:dyDescent="0.2">
      <c r="B20" s="702" t="s">
        <v>1115</v>
      </c>
      <c r="C20" s="703"/>
      <c r="D20" s="703"/>
      <c r="E20" s="703"/>
      <c r="F20" s="703"/>
      <c r="G20" s="703"/>
      <c r="H20" s="703"/>
      <c r="I20" s="703"/>
      <c r="J20" s="704"/>
      <c r="K20" s="66"/>
      <c r="M20" s="108"/>
    </row>
    <row r="21" spans="2:21" x14ac:dyDescent="0.2">
      <c r="B21" s="702" t="s">
        <v>1116</v>
      </c>
      <c r="C21" s="703"/>
      <c r="D21" s="703"/>
      <c r="E21" s="703"/>
      <c r="F21" s="704"/>
      <c r="G21" s="69" t="s">
        <v>1117</v>
      </c>
      <c r="H21" s="69" t="s">
        <v>1118</v>
      </c>
      <c r="I21" s="69" t="s">
        <v>215</v>
      </c>
      <c r="J21" s="69" t="s">
        <v>1097</v>
      </c>
      <c r="K21" s="69" t="s">
        <v>758</v>
      </c>
      <c r="L21" s="155"/>
      <c r="M21" s="109"/>
    </row>
    <row r="22" spans="2:21" x14ac:dyDescent="0.2">
      <c r="B22" s="691" t="s">
        <v>1119</v>
      </c>
      <c r="C22" s="692"/>
      <c r="D22" s="692"/>
      <c r="E22" s="692"/>
      <c r="F22" s="693"/>
      <c r="G22" s="67">
        <v>34000</v>
      </c>
      <c r="H22" s="70">
        <v>662.05100000000004</v>
      </c>
      <c r="I22" s="67">
        <v>32975.75</v>
      </c>
      <c r="J22" s="67">
        <f t="shared" ref="J22:J29" si="1">I22-G22</f>
        <v>-1024.25</v>
      </c>
      <c r="K22" s="70">
        <f t="shared" ref="K22:K32" si="2">I22/H22</f>
        <v>49.808473969528023</v>
      </c>
      <c r="L22" s="156"/>
      <c r="M22" s="185">
        <v>51.481000000000002</v>
      </c>
    </row>
    <row r="23" spans="2:21" x14ac:dyDescent="0.2">
      <c r="B23" s="691" t="s">
        <v>1120</v>
      </c>
      <c r="C23" s="692"/>
      <c r="D23" s="692"/>
      <c r="E23" s="692"/>
      <c r="F23" s="693"/>
      <c r="G23" s="67">
        <v>34000</v>
      </c>
      <c r="H23" s="70">
        <v>1078.0930000000001</v>
      </c>
      <c r="I23" s="67">
        <v>33828.17</v>
      </c>
      <c r="J23" s="67">
        <f t="shared" si="1"/>
        <v>-171.83000000000175</v>
      </c>
      <c r="K23" s="70">
        <f t="shared" si="2"/>
        <v>31.377784662362149</v>
      </c>
      <c r="L23" s="156"/>
      <c r="M23" s="185">
        <v>32.520000000000003</v>
      </c>
    </row>
    <row r="24" spans="2:21" x14ac:dyDescent="0.2">
      <c r="B24" s="691" t="s">
        <v>1121</v>
      </c>
      <c r="C24" s="692"/>
      <c r="D24" s="692"/>
      <c r="E24" s="692"/>
      <c r="F24" s="693"/>
      <c r="G24" s="67">
        <v>34000</v>
      </c>
      <c r="H24" s="70">
        <v>90.465999999999994</v>
      </c>
      <c r="I24" s="67">
        <v>32201.98</v>
      </c>
      <c r="J24" s="67">
        <f t="shared" si="1"/>
        <v>-1798.0200000000004</v>
      </c>
      <c r="K24" s="70">
        <f t="shared" si="2"/>
        <v>355.95671301925586</v>
      </c>
      <c r="L24" s="156"/>
      <c r="M24" s="185">
        <v>389.36009999999999</v>
      </c>
    </row>
    <row r="25" spans="2:21" x14ac:dyDescent="0.2">
      <c r="B25" s="691" t="s">
        <v>1122</v>
      </c>
      <c r="C25" s="692"/>
      <c r="D25" s="692"/>
      <c r="E25" s="692"/>
      <c r="F25" s="693"/>
      <c r="G25" s="67">
        <v>34000</v>
      </c>
      <c r="H25" s="70">
        <v>689.65099999999995</v>
      </c>
      <c r="I25" s="67">
        <v>33408.39</v>
      </c>
      <c r="J25" s="67">
        <f t="shared" si="1"/>
        <v>-591.61000000000058</v>
      </c>
      <c r="K25" s="70">
        <f t="shared" si="2"/>
        <v>48.442458576874394</v>
      </c>
      <c r="L25" s="156"/>
      <c r="M25" s="185">
        <v>49.4681</v>
      </c>
      <c r="U25" s="94"/>
    </row>
    <row r="26" spans="2:21" x14ac:dyDescent="0.2">
      <c r="B26" s="691" t="s">
        <v>1123</v>
      </c>
      <c r="C26" s="692"/>
      <c r="D26" s="692"/>
      <c r="E26" s="692"/>
      <c r="F26" s="693"/>
      <c r="G26" s="67">
        <v>10000</v>
      </c>
      <c r="H26" s="70">
        <v>50.031999999999996</v>
      </c>
      <c r="I26" s="67">
        <v>10208.18</v>
      </c>
      <c r="J26" s="67">
        <f t="shared" si="1"/>
        <v>208.18000000000029</v>
      </c>
      <c r="K26" s="70">
        <f t="shared" si="2"/>
        <v>204.03301886792454</v>
      </c>
      <c r="L26" s="156"/>
      <c r="M26" s="185"/>
      <c r="U26" s="94"/>
    </row>
    <row r="27" spans="2:21" x14ac:dyDescent="0.2">
      <c r="B27" s="691" t="s">
        <v>1124</v>
      </c>
      <c r="C27" s="692"/>
      <c r="D27" s="692"/>
      <c r="E27" s="692"/>
      <c r="F27" s="693"/>
      <c r="G27" s="67">
        <v>10000</v>
      </c>
      <c r="H27" s="70">
        <v>220.97900000000001</v>
      </c>
      <c r="I27" s="67">
        <v>10212.540000000001</v>
      </c>
      <c r="J27" s="67">
        <f t="shared" si="1"/>
        <v>212.54000000000087</v>
      </c>
      <c r="K27" s="70">
        <f t="shared" si="2"/>
        <v>46.214979703953773</v>
      </c>
      <c r="L27" s="156"/>
      <c r="M27" s="185"/>
      <c r="U27" s="94"/>
    </row>
    <row r="28" spans="2:21" x14ac:dyDescent="0.2">
      <c r="B28" s="691" t="s">
        <v>1125</v>
      </c>
      <c r="C28" s="692"/>
      <c r="D28" s="692"/>
      <c r="E28" s="692"/>
      <c r="F28" s="693"/>
      <c r="G28" s="67">
        <v>10000</v>
      </c>
      <c r="H28" s="70">
        <v>208.84700000000001</v>
      </c>
      <c r="I28" s="67">
        <v>10154.77</v>
      </c>
      <c r="J28" s="67">
        <f t="shared" si="1"/>
        <v>154.77000000000044</v>
      </c>
      <c r="K28" s="70">
        <f t="shared" si="2"/>
        <v>48.623011103822414</v>
      </c>
      <c r="L28" s="156"/>
      <c r="M28" s="185"/>
      <c r="U28" s="94"/>
    </row>
    <row r="29" spans="2:21" x14ac:dyDescent="0.2">
      <c r="B29" s="691" t="s">
        <v>1126</v>
      </c>
      <c r="C29" s="692"/>
      <c r="D29" s="692"/>
      <c r="E29" s="692"/>
      <c r="F29" s="693"/>
      <c r="G29" s="67">
        <v>10000</v>
      </c>
      <c r="H29" s="70">
        <v>241.374</v>
      </c>
      <c r="I29" s="67">
        <v>9996.9599999999991</v>
      </c>
      <c r="J29" s="67">
        <f t="shared" si="1"/>
        <v>-3.0400000000008731</v>
      </c>
      <c r="K29" s="70">
        <f>I29/H29</f>
        <v>41.416888314400055</v>
      </c>
      <c r="L29" s="156"/>
      <c r="M29" s="185"/>
      <c r="U29" s="94"/>
    </row>
    <row r="30" spans="2:21" hidden="1" x14ac:dyDescent="0.2">
      <c r="B30" s="691" t="s">
        <v>1127</v>
      </c>
      <c r="C30" s="692"/>
      <c r="D30" s="692"/>
      <c r="E30" s="692"/>
      <c r="F30" s="693"/>
      <c r="G30" s="72">
        <v>21000</v>
      </c>
      <c r="H30" s="173">
        <v>29.506</v>
      </c>
      <c r="I30" s="72">
        <v>21333.51</v>
      </c>
      <c r="J30" s="72">
        <v>0</v>
      </c>
      <c r="K30" s="173">
        <f t="shared" si="2"/>
        <v>723.02277502880759</v>
      </c>
      <c r="L30" s="156"/>
      <c r="M30" s="110"/>
    </row>
    <row r="31" spans="2:21" hidden="1" x14ac:dyDescent="0.2">
      <c r="B31" s="691" t="s">
        <v>1128</v>
      </c>
      <c r="C31" s="692"/>
      <c r="D31" s="692"/>
      <c r="E31" s="692"/>
      <c r="F31" s="693"/>
      <c r="G31" s="72">
        <v>44000</v>
      </c>
      <c r="H31" s="173">
        <v>1490.3050000000001</v>
      </c>
      <c r="I31" s="72">
        <v>45966.43</v>
      </c>
      <c r="J31" s="72">
        <v>0</v>
      </c>
      <c r="K31" s="173">
        <f t="shared" si="2"/>
        <v>30.843639389252534</v>
      </c>
      <c r="L31" s="156"/>
      <c r="M31" s="110"/>
    </row>
    <row r="32" spans="2:21" hidden="1" x14ac:dyDescent="0.2">
      <c r="B32" s="691" t="s">
        <v>1129</v>
      </c>
      <c r="C32" s="692"/>
      <c r="D32" s="692"/>
      <c r="E32" s="692"/>
      <c r="F32" s="693"/>
      <c r="G32" s="67">
        <v>18000</v>
      </c>
      <c r="H32" s="70">
        <v>405.66399999999999</v>
      </c>
      <c r="I32" s="67">
        <v>16482</v>
      </c>
      <c r="J32" s="67">
        <v>0</v>
      </c>
      <c r="K32" s="70">
        <f t="shared" si="2"/>
        <v>40.629683679103891</v>
      </c>
      <c r="L32" s="156"/>
      <c r="M32" s="110"/>
    </row>
    <row r="33" spans="1:22" x14ac:dyDescent="0.2">
      <c r="B33" s="64"/>
      <c r="C33" s="64"/>
      <c r="D33" s="64"/>
      <c r="E33" s="64"/>
      <c r="F33" s="66" t="s">
        <v>18</v>
      </c>
      <c r="G33" s="67">
        <f>SUM(G22:G29)</f>
        <v>176000</v>
      </c>
      <c r="H33" s="67"/>
      <c r="I33" s="67">
        <f>SUM(I22:I29)</f>
        <v>172986.73999999996</v>
      </c>
      <c r="J33" s="66"/>
      <c r="K33" s="66"/>
      <c r="M33" s="108"/>
    </row>
    <row r="34" spans="1:22" x14ac:dyDescent="0.2">
      <c r="B34" s="64"/>
      <c r="C34" s="64"/>
      <c r="D34" s="82" t="s">
        <v>320</v>
      </c>
      <c r="E34" s="64"/>
      <c r="F34" s="64"/>
      <c r="G34" s="64"/>
      <c r="H34" s="64"/>
      <c r="I34" s="64" t="s">
        <v>1113</v>
      </c>
      <c r="J34" s="68">
        <f>SUM(J22:J32)</f>
        <v>-3013.260000000002</v>
      </c>
      <c r="K34" s="148">
        <f>J34/G33</f>
        <v>-1.7120795454545465E-2</v>
      </c>
      <c r="O34" s="157"/>
      <c r="P34" s="157"/>
    </row>
    <row r="35" spans="1:22" x14ac:dyDescent="0.2">
      <c r="D35" s="66" t="s">
        <v>825</v>
      </c>
      <c r="N35" s="160"/>
      <c r="O35" s="157"/>
      <c r="P35" s="157"/>
    </row>
    <row r="36" spans="1:22" x14ac:dyDescent="0.2">
      <c r="B36" s="62">
        <v>333.51</v>
      </c>
      <c r="H36" s="696"/>
      <c r="I36" s="696"/>
      <c r="J36" s="228"/>
      <c r="N36" s="160"/>
      <c r="O36" s="157"/>
      <c r="P36" s="157"/>
    </row>
    <row r="37" spans="1:22" x14ac:dyDescent="0.2">
      <c r="A37" s="174"/>
      <c r="B37" s="174">
        <v>1966.43</v>
      </c>
      <c r="C37" s="174"/>
      <c r="H37" s="696"/>
      <c r="I37" s="696"/>
      <c r="J37" s="228"/>
      <c r="N37" s="160"/>
      <c r="O37" s="157"/>
      <c r="P37" s="157"/>
    </row>
    <row r="38" spans="1:22" x14ac:dyDescent="0.2">
      <c r="B38" s="62">
        <v>-1518</v>
      </c>
      <c r="H38" s="696"/>
      <c r="I38" s="696"/>
      <c r="J38" s="228"/>
      <c r="N38" s="160"/>
      <c r="O38" s="157"/>
      <c r="P38" s="157"/>
    </row>
    <row r="39" spans="1:22" x14ac:dyDescent="0.2">
      <c r="L39" s="62">
        <v>24497</v>
      </c>
      <c r="N39" s="160"/>
      <c r="O39" s="157"/>
      <c r="P39" s="157"/>
    </row>
    <row r="40" spans="1:22" x14ac:dyDescent="0.2">
      <c r="L40" s="62">
        <v>-3500</v>
      </c>
      <c r="N40" s="160"/>
      <c r="O40" s="157"/>
      <c r="P40" s="157"/>
    </row>
    <row r="41" spans="1:22" x14ac:dyDescent="0.2">
      <c r="H41" s="93"/>
      <c r="I41" s="62">
        <f>6700/13.8</f>
        <v>485.50724637681157</v>
      </c>
      <c r="N41" s="160"/>
      <c r="O41" s="157"/>
      <c r="P41" s="157"/>
    </row>
    <row r="42" spans="1:22" ht="12.75" x14ac:dyDescent="0.2">
      <c r="D42" s="687" t="s">
        <v>1130</v>
      </c>
      <c r="E42" s="687"/>
      <c r="F42" s="146">
        <v>22489.48</v>
      </c>
      <c r="G42" s="5">
        <v>22482.33</v>
      </c>
      <c r="H42" s="2"/>
      <c r="I42" s="62">
        <f>24821/1518</f>
        <v>16.351119894598156</v>
      </c>
      <c r="N42" s="160"/>
      <c r="O42" s="157"/>
      <c r="P42" s="157"/>
      <c r="S42" s="694" t="s">
        <v>1131</v>
      </c>
      <c r="T42" s="695"/>
      <c r="U42" s="62" t="s">
        <v>1132</v>
      </c>
      <c r="V42" s="62" t="s">
        <v>1133</v>
      </c>
    </row>
    <row r="43" spans="1:22" ht="12.75" x14ac:dyDescent="0.2">
      <c r="D43" s="687"/>
      <c r="E43" s="687"/>
      <c r="F43" s="146">
        <v>12484.67</v>
      </c>
      <c r="G43" s="5">
        <v>12461.17</v>
      </c>
      <c r="H43" s="2"/>
      <c r="K43" s="62">
        <v>715.61</v>
      </c>
      <c r="N43" s="160"/>
      <c r="O43" s="157"/>
      <c r="P43" s="157"/>
      <c r="S43" s="76" t="s">
        <v>1134</v>
      </c>
      <c r="T43" s="161">
        <v>760958</v>
      </c>
      <c r="U43" s="62">
        <v>-390000</v>
      </c>
      <c r="V43" s="62">
        <f>SUM(T43:U43)</f>
        <v>370958</v>
      </c>
    </row>
    <row r="44" spans="1:22" ht="12.75" x14ac:dyDescent="0.2">
      <c r="D44" s="687"/>
      <c r="E44" s="687"/>
      <c r="F44" s="146">
        <v>11352.72</v>
      </c>
      <c r="G44" s="5">
        <v>11338.32</v>
      </c>
      <c r="H44" s="2"/>
      <c r="N44" s="160"/>
      <c r="O44" s="157"/>
      <c r="P44" s="157"/>
      <c r="S44" s="76" t="s">
        <v>1135</v>
      </c>
      <c r="T44" s="161">
        <v>1575000</v>
      </c>
    </row>
    <row r="45" spans="1:22" ht="12.75" x14ac:dyDescent="0.2">
      <c r="D45" s="2"/>
      <c r="E45" s="147" t="s">
        <v>18</v>
      </c>
      <c r="F45" s="146">
        <f>SUM(F42:F44)</f>
        <v>46326.87</v>
      </c>
      <c r="G45" s="146">
        <f>SUM(G42:G44)</f>
        <v>46281.82</v>
      </c>
      <c r="H45" s="3">
        <f>F45-G45</f>
        <v>45.05000000000291</v>
      </c>
      <c r="K45" s="62">
        <f>K44*K43</f>
        <v>0</v>
      </c>
      <c r="N45" s="160"/>
      <c r="O45" s="157"/>
      <c r="P45" s="157"/>
      <c r="S45" s="76"/>
      <c r="T45" s="161"/>
    </row>
    <row r="46" spans="1:22" ht="12.75" x14ac:dyDescent="0.2">
      <c r="D46" s="2"/>
      <c r="E46" s="2" t="s">
        <v>1136</v>
      </c>
      <c r="F46" s="2">
        <v>6732</v>
      </c>
      <c r="G46" s="2">
        <v>6663.5</v>
      </c>
      <c r="H46" s="3">
        <f>F46-G46</f>
        <v>68.5</v>
      </c>
      <c r="N46" s="160"/>
      <c r="O46" s="157"/>
      <c r="P46" s="157"/>
      <c r="S46" s="76"/>
      <c r="T46" s="161"/>
    </row>
    <row r="47" spans="1:22" ht="12.75" x14ac:dyDescent="0.2">
      <c r="F47" s="93">
        <f>SUM(F45:F46)</f>
        <v>53058.87</v>
      </c>
      <c r="G47" s="93">
        <f>SUM(G45:G46)</f>
        <v>52945.32</v>
      </c>
      <c r="H47" s="3">
        <f>F47-G47</f>
        <v>113.55000000000291</v>
      </c>
      <c r="N47" s="160"/>
      <c r="O47" s="157"/>
      <c r="P47" s="157"/>
      <c r="S47" s="76"/>
      <c r="T47" s="161"/>
    </row>
    <row r="48" spans="1:22" x14ac:dyDescent="0.2">
      <c r="N48" s="160"/>
      <c r="O48" s="157"/>
      <c r="P48" s="157"/>
      <c r="S48" s="76" t="s">
        <v>1137</v>
      </c>
      <c r="T48" s="161">
        <f>SUM(T43:T47)</f>
        <v>2335958</v>
      </c>
    </row>
    <row r="49" spans="1:20" x14ac:dyDescent="0.2">
      <c r="H49" s="158"/>
      <c r="I49" s="158"/>
      <c r="J49" s="158"/>
      <c r="K49" s="158"/>
      <c r="L49" s="158"/>
      <c r="M49" s="158"/>
      <c r="N49" s="160"/>
      <c r="O49" s="157"/>
      <c r="P49" s="157"/>
    </row>
    <row r="50" spans="1:20" x14ac:dyDescent="0.2">
      <c r="H50" s="158"/>
      <c r="I50" s="158"/>
      <c r="J50" s="158"/>
      <c r="K50" s="158"/>
      <c r="L50" s="158"/>
      <c r="M50" s="158"/>
      <c r="N50" s="160"/>
      <c r="O50" s="157"/>
      <c r="P50" s="157"/>
    </row>
    <row r="51" spans="1:20" x14ac:dyDescent="0.2">
      <c r="H51" s="158"/>
      <c r="I51" s="158"/>
      <c r="J51" s="158"/>
      <c r="K51" s="158"/>
      <c r="L51" s="158"/>
      <c r="M51" s="158"/>
      <c r="N51" s="160"/>
      <c r="O51" s="157"/>
      <c r="P51" s="157"/>
      <c r="S51" s="62">
        <v>200</v>
      </c>
      <c r="T51" s="62">
        <v>766.53</v>
      </c>
    </row>
    <row r="52" spans="1:20" x14ac:dyDescent="0.2">
      <c r="H52" s="707" t="s">
        <v>1138</v>
      </c>
      <c r="I52" s="707"/>
      <c r="J52" s="707"/>
      <c r="K52" s="707"/>
      <c r="L52" s="707"/>
      <c r="N52" s="160"/>
      <c r="O52" s="157"/>
      <c r="P52" s="157"/>
      <c r="S52" s="62">
        <v>2.33</v>
      </c>
      <c r="T52" s="62">
        <v>9</v>
      </c>
    </row>
    <row r="53" spans="1:20" x14ac:dyDescent="0.2">
      <c r="H53" s="76" t="s">
        <v>1139</v>
      </c>
      <c r="I53" s="76" t="s">
        <v>1140</v>
      </c>
      <c r="J53" s="76" t="s">
        <v>1141</v>
      </c>
      <c r="K53" s="76" t="s">
        <v>1142</v>
      </c>
      <c r="L53" s="76" t="s">
        <v>1138</v>
      </c>
      <c r="N53" s="160"/>
      <c r="O53" s="157"/>
      <c r="P53" s="157"/>
      <c r="Q53" s="62">
        <v>333.72</v>
      </c>
      <c r="S53" s="62">
        <f>S51/S52</f>
        <v>85.836909871244629</v>
      </c>
      <c r="T53" s="62">
        <f>T51/T52</f>
        <v>85.17</v>
      </c>
    </row>
    <row r="54" spans="1:20" x14ac:dyDescent="0.2">
      <c r="H54" s="76">
        <v>21288</v>
      </c>
      <c r="I54" s="76">
        <v>4.75</v>
      </c>
      <c r="J54" s="76">
        <v>21469.5</v>
      </c>
      <c r="K54" s="76">
        <f t="shared" ref="K54:K59" si="3">J54-H54</f>
        <v>181.5</v>
      </c>
      <c r="L54" s="76">
        <f t="shared" ref="L54:L59" si="4">(J54-H54)/I54</f>
        <v>38.210526315789473</v>
      </c>
      <c r="N54" s="160"/>
      <c r="O54" s="157"/>
      <c r="P54" s="157"/>
    </row>
    <row r="55" spans="1:20" x14ac:dyDescent="0.2">
      <c r="C55" s="150">
        <v>400</v>
      </c>
      <c r="D55" s="151">
        <v>15</v>
      </c>
      <c r="E55" s="150">
        <f>D55*C55</f>
        <v>6000</v>
      </c>
      <c r="H55" s="76">
        <v>21469.5</v>
      </c>
      <c r="I55" s="76">
        <v>4.46</v>
      </c>
      <c r="J55" s="76">
        <v>21668</v>
      </c>
      <c r="K55" s="76">
        <f t="shared" si="3"/>
        <v>198.5</v>
      </c>
      <c r="L55" s="76">
        <f t="shared" si="4"/>
        <v>44.506726457399104</v>
      </c>
      <c r="N55" s="160"/>
      <c r="O55" s="157"/>
      <c r="P55" s="157"/>
      <c r="R55" s="62" t="s">
        <v>1143</v>
      </c>
      <c r="S55" s="62">
        <v>17405</v>
      </c>
    </row>
    <row r="56" spans="1:20" x14ac:dyDescent="0.2">
      <c r="C56" s="150">
        <v>118</v>
      </c>
      <c r="D56" s="151">
        <v>32.85</v>
      </c>
      <c r="E56" s="150">
        <f>D56*C56</f>
        <v>3876.3</v>
      </c>
      <c r="H56" s="76">
        <v>21668</v>
      </c>
      <c r="I56" s="76">
        <v>4.6500000000000004</v>
      </c>
      <c r="J56" s="76">
        <v>21672</v>
      </c>
      <c r="K56" s="76">
        <f t="shared" si="3"/>
        <v>4</v>
      </c>
      <c r="L56" s="76">
        <f t="shared" si="4"/>
        <v>0.86021505376344076</v>
      </c>
      <c r="N56" s="160"/>
      <c r="O56" s="157"/>
      <c r="P56" s="157"/>
      <c r="S56" s="62">
        <v>17515</v>
      </c>
    </row>
    <row r="57" spans="1:20" x14ac:dyDescent="0.2">
      <c r="C57" s="150">
        <v>490</v>
      </c>
      <c r="D57" s="151">
        <v>14.9</v>
      </c>
      <c r="E57" s="150">
        <f>D57*C57</f>
        <v>7301</v>
      </c>
      <c r="H57" s="76">
        <v>-99</v>
      </c>
      <c r="I57" s="76">
        <v>1</v>
      </c>
      <c r="J57" s="76"/>
      <c r="K57" s="76">
        <f t="shared" si="3"/>
        <v>99</v>
      </c>
      <c r="L57" s="76">
        <f t="shared" si="4"/>
        <v>99</v>
      </c>
      <c r="N57" s="160"/>
      <c r="O57" s="157"/>
      <c r="P57" s="157"/>
    </row>
    <row r="58" spans="1:20" x14ac:dyDescent="0.2">
      <c r="C58" s="150">
        <v>510</v>
      </c>
      <c r="D58" s="151">
        <v>14.8</v>
      </c>
      <c r="E58" s="150">
        <f>D58*C58</f>
        <v>7548</v>
      </c>
      <c r="H58" s="76">
        <v>-99</v>
      </c>
      <c r="I58" s="76">
        <v>1</v>
      </c>
      <c r="J58" s="76"/>
      <c r="K58" s="76">
        <f t="shared" si="3"/>
        <v>99</v>
      </c>
      <c r="L58" s="76">
        <f t="shared" si="4"/>
        <v>99</v>
      </c>
      <c r="N58" s="160"/>
      <c r="O58" s="157"/>
      <c r="P58" s="157"/>
    </row>
    <row r="59" spans="1:20" x14ac:dyDescent="0.2">
      <c r="C59" s="150">
        <f>SUM(C55:C58)</f>
        <v>1518</v>
      </c>
      <c r="D59" s="150">
        <f>E59/C59</f>
        <v>16.288076416337287</v>
      </c>
      <c r="E59" s="150">
        <f>SUM(E55:E58)</f>
        <v>24725.3</v>
      </c>
      <c r="H59" s="76">
        <v>-99</v>
      </c>
      <c r="I59" s="76">
        <v>1</v>
      </c>
      <c r="J59" s="76"/>
      <c r="K59" s="76">
        <f t="shared" si="3"/>
        <v>99</v>
      </c>
      <c r="L59" s="76">
        <f t="shared" si="4"/>
        <v>99</v>
      </c>
      <c r="N59" s="160"/>
      <c r="O59" s="157"/>
      <c r="P59" s="157"/>
    </row>
    <row r="60" spans="1:20" x14ac:dyDescent="0.2">
      <c r="C60" s="150">
        <v>1482</v>
      </c>
      <c r="D60" s="150">
        <v>13.58</v>
      </c>
      <c r="E60" s="150">
        <f>D60*C60</f>
        <v>20125.560000000001</v>
      </c>
      <c r="H60" s="76"/>
      <c r="I60" s="76"/>
      <c r="J60" s="76"/>
      <c r="K60" s="76"/>
      <c r="L60" s="76"/>
      <c r="N60" s="160"/>
      <c r="O60" s="157"/>
      <c r="P60" s="157"/>
    </row>
    <row r="61" spans="1:20" x14ac:dyDescent="0.2">
      <c r="C61" s="62">
        <f>SUM(C59:C60)</f>
        <v>3000</v>
      </c>
      <c r="D61" s="62">
        <f>E61/C61</f>
        <v>14.950286666666667</v>
      </c>
      <c r="E61" s="62">
        <f>SUM(E59:E60)</f>
        <v>44850.86</v>
      </c>
      <c r="H61" s="76"/>
      <c r="I61" s="76"/>
      <c r="J61" s="76"/>
      <c r="K61" s="76"/>
      <c r="L61" s="76"/>
      <c r="N61" s="160"/>
      <c r="O61" s="157"/>
      <c r="P61" s="157"/>
    </row>
    <row r="62" spans="1:20" x14ac:dyDescent="0.2">
      <c r="H62" s="76"/>
      <c r="I62" s="76"/>
      <c r="J62" s="76"/>
      <c r="K62" s="76"/>
      <c r="L62" s="76"/>
      <c r="N62" s="160"/>
      <c r="O62" s="157"/>
      <c r="P62" s="157"/>
    </row>
    <row r="63" spans="1:20" x14ac:dyDescent="0.2">
      <c r="A63" s="160"/>
      <c r="B63" s="157"/>
      <c r="C63" s="157"/>
      <c r="H63" s="76"/>
      <c r="I63" s="76"/>
      <c r="J63" s="76"/>
      <c r="K63" s="76"/>
      <c r="L63" s="76"/>
      <c r="N63" s="160"/>
      <c r="O63" s="157"/>
      <c r="P63" s="157"/>
    </row>
    <row r="64" spans="1:20" x14ac:dyDescent="0.2">
      <c r="A64" s="160"/>
      <c r="B64" s="157"/>
      <c r="C64" s="157"/>
      <c r="H64" s="76"/>
      <c r="I64" s="76"/>
      <c r="J64" s="76"/>
      <c r="K64" s="76"/>
      <c r="L64" s="76"/>
      <c r="N64" s="160"/>
      <c r="O64" s="157"/>
      <c r="P64" s="157"/>
    </row>
    <row r="65" spans="1:16" x14ac:dyDescent="0.2">
      <c r="A65" s="160"/>
      <c r="B65" s="157"/>
      <c r="C65" s="157"/>
      <c r="N65" s="160"/>
      <c r="O65" s="157"/>
      <c r="P65" s="157"/>
    </row>
    <row r="66" spans="1:16" x14ac:dyDescent="0.2">
      <c r="A66" s="160"/>
      <c r="B66" s="157"/>
      <c r="C66" s="157"/>
      <c r="I66" s="62">
        <v>410.1</v>
      </c>
      <c r="J66" s="62">
        <v>4.75</v>
      </c>
      <c r="K66" s="62">
        <f>I66/J66</f>
        <v>86.336842105263159</v>
      </c>
      <c r="N66" s="160"/>
      <c r="O66" s="157"/>
      <c r="P66" s="157"/>
    </row>
    <row r="67" spans="1:16" x14ac:dyDescent="0.2">
      <c r="A67" s="160"/>
      <c r="B67" s="157"/>
      <c r="C67" s="157"/>
      <c r="I67" s="62">
        <v>376.11</v>
      </c>
      <c r="J67" s="62">
        <v>4.46</v>
      </c>
      <c r="K67" s="62">
        <f>I67/J67</f>
        <v>84.329596412556057</v>
      </c>
      <c r="N67" s="160"/>
      <c r="O67" s="157"/>
      <c r="P67" s="157"/>
    </row>
    <row r="68" spans="1:16" x14ac:dyDescent="0.2">
      <c r="A68" s="160"/>
      <c r="B68" s="157"/>
      <c r="C68" s="157"/>
      <c r="N68" s="160"/>
      <c r="O68" s="157"/>
      <c r="P68" s="157"/>
    </row>
    <row r="69" spans="1:16" x14ac:dyDescent="0.2">
      <c r="A69" s="160"/>
      <c r="B69" s="157"/>
      <c r="C69" s="157"/>
      <c r="N69" s="160"/>
      <c r="O69" s="157"/>
      <c r="P69" s="157"/>
    </row>
    <row r="70" spans="1:16" x14ac:dyDescent="0.2">
      <c r="A70" s="160"/>
      <c r="B70" s="157"/>
      <c r="C70" s="157"/>
      <c r="F70" s="701" t="s">
        <v>983</v>
      </c>
      <c r="G70" s="701"/>
      <c r="H70" s="701"/>
      <c r="I70" s="701"/>
      <c r="J70" s="701"/>
      <c r="K70" s="701"/>
      <c r="N70" s="160"/>
      <c r="O70" s="157"/>
      <c r="P70" s="157"/>
    </row>
    <row r="71" spans="1:16" x14ac:dyDescent="0.2">
      <c r="A71" s="160"/>
      <c r="B71" s="157"/>
      <c r="C71" s="157"/>
      <c r="F71" s="177" t="s">
        <v>1144</v>
      </c>
      <c r="G71" s="66" t="s">
        <v>1145</v>
      </c>
      <c r="H71" s="66" t="s">
        <v>758</v>
      </c>
      <c r="I71" s="66" t="s">
        <v>1146</v>
      </c>
      <c r="J71" s="66" t="s">
        <v>758</v>
      </c>
      <c r="K71" s="66" t="s">
        <v>1147</v>
      </c>
      <c r="N71" s="160"/>
      <c r="O71" s="157"/>
      <c r="P71" s="157"/>
    </row>
    <row r="72" spans="1:16" x14ac:dyDescent="0.2">
      <c r="A72" s="160"/>
      <c r="B72" s="157"/>
      <c r="C72" s="157"/>
      <c r="F72" s="75">
        <v>43329</v>
      </c>
      <c r="G72" s="70">
        <v>2255.61</v>
      </c>
      <c r="H72" s="70">
        <v>28.67</v>
      </c>
      <c r="I72" s="70">
        <v>1985.6</v>
      </c>
      <c r="J72" s="70">
        <v>18.3</v>
      </c>
      <c r="K72" s="70">
        <f t="shared" ref="K72:K79" si="5">(G72*H72)+(I72*J72)</f>
        <v>101004.8187</v>
      </c>
      <c r="N72" s="160"/>
      <c r="O72" s="157"/>
      <c r="P72" s="157"/>
    </row>
    <row r="73" spans="1:16" x14ac:dyDescent="0.2">
      <c r="A73" s="160"/>
      <c r="B73" s="157"/>
      <c r="C73" s="157"/>
      <c r="F73" s="75">
        <v>43373</v>
      </c>
      <c r="G73" s="70">
        <v>2303.94</v>
      </c>
      <c r="H73" s="70">
        <v>28.4</v>
      </c>
      <c r="I73" s="70">
        <v>2064.3000000000002</v>
      </c>
      <c r="J73" s="70">
        <v>18.16</v>
      </c>
      <c r="K73" s="70">
        <f t="shared" si="5"/>
        <v>102919.584</v>
      </c>
      <c r="N73" s="160"/>
      <c r="O73" s="157"/>
      <c r="P73" s="157"/>
    </row>
    <row r="74" spans="1:16" x14ac:dyDescent="0.2">
      <c r="A74" s="160"/>
      <c r="B74" s="157"/>
      <c r="C74" s="157"/>
      <c r="F74" s="75">
        <v>43434</v>
      </c>
      <c r="G74" s="70">
        <v>2466.94</v>
      </c>
      <c r="H74" s="70">
        <v>26.83</v>
      </c>
      <c r="I74" s="70">
        <v>2309.1999999999998</v>
      </c>
      <c r="J74" s="70">
        <v>18.149999999999999</v>
      </c>
      <c r="K74" s="70">
        <f t="shared" si="5"/>
        <v>108099.98019999999</v>
      </c>
      <c r="L74" s="94">
        <f t="shared" ref="L74:L79" si="6">K74-K73</f>
        <v>5180.3961999999883</v>
      </c>
      <c r="N74" s="160"/>
      <c r="O74" s="157"/>
      <c r="P74" s="157"/>
    </row>
    <row r="75" spans="1:16" x14ac:dyDescent="0.2">
      <c r="A75" s="160"/>
      <c r="B75" s="157"/>
      <c r="C75" s="157"/>
      <c r="F75" s="75">
        <v>43465</v>
      </c>
      <c r="G75" s="70">
        <v>2519.89</v>
      </c>
      <c r="H75" s="70">
        <v>26.96</v>
      </c>
      <c r="I75" s="70">
        <v>2388.08</v>
      </c>
      <c r="J75" s="70">
        <v>18.420000000000002</v>
      </c>
      <c r="K75" s="70">
        <f t="shared" si="5"/>
        <v>111924.66800000001</v>
      </c>
      <c r="L75" s="94">
        <f t="shared" si="6"/>
        <v>3824.6878000000142</v>
      </c>
      <c r="N75" s="160"/>
      <c r="O75" s="157"/>
      <c r="P75" s="157"/>
    </row>
    <row r="76" spans="1:16" x14ac:dyDescent="0.2">
      <c r="A76" s="160"/>
      <c r="B76" s="157"/>
      <c r="C76" s="157"/>
      <c r="F76" s="75">
        <v>43467</v>
      </c>
      <c r="G76" s="70">
        <v>2519.89</v>
      </c>
      <c r="H76" s="70">
        <v>26.98</v>
      </c>
      <c r="I76" s="70">
        <v>2388.58</v>
      </c>
      <c r="J76" s="70">
        <v>18.43</v>
      </c>
      <c r="K76" s="70">
        <f t="shared" si="5"/>
        <v>112008.16159999999</v>
      </c>
      <c r="L76" s="94">
        <f t="shared" si="6"/>
        <v>83.493599999987055</v>
      </c>
      <c r="N76" s="160"/>
      <c r="O76" s="157"/>
      <c r="P76" s="157"/>
    </row>
    <row r="77" spans="1:16" x14ac:dyDescent="0.2">
      <c r="A77" s="160"/>
      <c r="B77" s="157"/>
      <c r="C77" s="157"/>
      <c r="F77" s="75">
        <v>43523</v>
      </c>
      <c r="G77" s="70">
        <v>2574.0700000000002</v>
      </c>
      <c r="H77" s="70">
        <v>26.64</v>
      </c>
      <c r="I77" s="70">
        <v>2467.54</v>
      </c>
      <c r="J77" s="70">
        <v>18.36</v>
      </c>
      <c r="K77" s="70">
        <f t="shared" si="5"/>
        <v>113877.2592</v>
      </c>
      <c r="L77" s="94">
        <f t="shared" si="6"/>
        <v>1869.0976000000082</v>
      </c>
      <c r="N77" s="160"/>
      <c r="O77" s="157"/>
      <c r="P77" s="157"/>
    </row>
    <row r="78" spans="1:16" x14ac:dyDescent="0.2">
      <c r="A78" s="160"/>
      <c r="B78" s="157"/>
      <c r="C78" s="157"/>
      <c r="F78" s="75">
        <v>43537</v>
      </c>
      <c r="G78" s="70">
        <v>2627.68</v>
      </c>
      <c r="H78" s="70">
        <v>27.91</v>
      </c>
      <c r="I78" s="70">
        <v>2546.5100000000002</v>
      </c>
      <c r="J78" s="70">
        <v>18.87</v>
      </c>
      <c r="K78" s="70">
        <f t="shared" si="5"/>
        <v>121391.1925</v>
      </c>
      <c r="L78" s="94">
        <f t="shared" si="6"/>
        <v>7513.9333000000042</v>
      </c>
      <c r="N78" s="160"/>
      <c r="O78" s="157"/>
      <c r="P78" s="157"/>
    </row>
    <row r="79" spans="1:16" x14ac:dyDescent="0.2">
      <c r="A79" s="160"/>
      <c r="B79" s="157"/>
      <c r="C79" s="157"/>
      <c r="F79" s="75">
        <v>43578</v>
      </c>
      <c r="G79" s="70">
        <v>2677.8</v>
      </c>
      <c r="H79" s="70">
        <v>28.35</v>
      </c>
      <c r="I79" s="70">
        <v>2622.26</v>
      </c>
      <c r="J79" s="70">
        <v>19.02</v>
      </c>
      <c r="K79" s="70">
        <f t="shared" si="5"/>
        <v>125791.01520000001</v>
      </c>
      <c r="L79" s="94">
        <f t="shared" si="6"/>
        <v>4399.8227000000043</v>
      </c>
      <c r="M79" s="62">
        <f>K79*75/100</f>
        <v>94343.261400000003</v>
      </c>
      <c r="N79" s="160"/>
      <c r="O79" s="157"/>
      <c r="P79" s="157"/>
    </row>
    <row r="80" spans="1:16" x14ac:dyDescent="0.2">
      <c r="A80" s="160"/>
      <c r="B80" s="157"/>
      <c r="C80" s="157"/>
      <c r="F80" s="75">
        <v>43586</v>
      </c>
      <c r="G80" s="70">
        <v>2727.4</v>
      </c>
      <c r="H80" s="70">
        <v>28.78</v>
      </c>
      <c r="I80" s="70">
        <v>2698.1</v>
      </c>
      <c r="J80" s="70">
        <v>19.149999999999999</v>
      </c>
      <c r="K80" s="70">
        <f t="shared" ref="K80:K85" si="7">(G80*H80)+(I80*J80)</f>
        <v>130163.18700000001</v>
      </c>
      <c r="L80" s="94">
        <f t="shared" ref="L80:L85" si="8">K80-K79</f>
        <v>4372.1717999999964</v>
      </c>
      <c r="M80" s="94">
        <f>K80-45000</f>
        <v>85163.187000000005</v>
      </c>
      <c r="N80" s="160"/>
      <c r="O80" s="157"/>
      <c r="P80" s="157"/>
    </row>
    <row r="81" spans="1:16" x14ac:dyDescent="0.2">
      <c r="A81" s="160"/>
      <c r="B81" s="157"/>
      <c r="C81" s="157"/>
      <c r="F81" s="75">
        <v>43671</v>
      </c>
      <c r="G81" s="70">
        <v>1180.74</v>
      </c>
      <c r="H81" s="70">
        <v>27.59</v>
      </c>
      <c r="I81" s="70">
        <v>1253.21</v>
      </c>
      <c r="J81" s="70">
        <v>19.510000000000002</v>
      </c>
      <c r="K81" s="70">
        <f t="shared" si="7"/>
        <v>57026.743700000006</v>
      </c>
      <c r="L81" s="94">
        <f t="shared" si="8"/>
        <v>-73136.443299999999</v>
      </c>
      <c r="N81" s="160"/>
      <c r="O81" s="157"/>
      <c r="P81" s="157"/>
    </row>
    <row r="82" spans="1:16" x14ac:dyDescent="0.2">
      <c r="A82" s="160"/>
      <c r="B82" s="157"/>
      <c r="C82" s="157"/>
      <c r="F82" s="75">
        <v>43712</v>
      </c>
      <c r="G82" s="70">
        <v>1284.0999999999999</v>
      </c>
      <c r="H82" s="70">
        <v>27.07</v>
      </c>
      <c r="I82" s="70">
        <v>1400.86</v>
      </c>
      <c r="J82" s="70">
        <v>19.43</v>
      </c>
      <c r="K82" s="70">
        <f t="shared" si="7"/>
        <v>61979.296799999996</v>
      </c>
      <c r="L82" s="94">
        <f t="shared" si="8"/>
        <v>4952.5530999999901</v>
      </c>
      <c r="N82" s="160"/>
      <c r="O82" s="157"/>
      <c r="P82" s="157"/>
    </row>
    <row r="83" spans="1:16" x14ac:dyDescent="0.2">
      <c r="A83" s="160"/>
      <c r="B83" s="157"/>
      <c r="C83" s="157"/>
      <c r="F83" s="75"/>
      <c r="G83" s="70"/>
      <c r="H83" s="70">
        <v>0</v>
      </c>
      <c r="I83" s="70"/>
      <c r="J83" s="70">
        <v>0</v>
      </c>
      <c r="K83" s="70">
        <f t="shared" si="7"/>
        <v>0</v>
      </c>
      <c r="L83" s="94">
        <f t="shared" si="8"/>
        <v>-61979.296799999996</v>
      </c>
      <c r="N83" s="160"/>
      <c r="O83" s="157"/>
      <c r="P83" s="157"/>
    </row>
    <row r="84" spans="1:16" x14ac:dyDescent="0.2">
      <c r="A84" s="160"/>
      <c r="B84" s="157"/>
      <c r="C84" s="157"/>
      <c r="F84" s="75"/>
      <c r="G84" s="70"/>
      <c r="H84" s="70">
        <v>0</v>
      </c>
      <c r="I84" s="70"/>
      <c r="J84" s="70">
        <v>0</v>
      </c>
      <c r="K84" s="70">
        <f t="shared" si="7"/>
        <v>0</v>
      </c>
      <c r="L84" s="94">
        <f t="shared" si="8"/>
        <v>0</v>
      </c>
      <c r="N84" s="160"/>
      <c r="O84" s="157"/>
      <c r="P84" s="157"/>
    </row>
    <row r="85" spans="1:16" x14ac:dyDescent="0.2">
      <c r="A85" s="160"/>
      <c r="B85" s="157"/>
      <c r="C85" s="157"/>
      <c r="F85" s="75"/>
      <c r="G85" s="70"/>
      <c r="H85" s="70">
        <v>0</v>
      </c>
      <c r="I85" s="70"/>
      <c r="J85" s="70">
        <v>0</v>
      </c>
      <c r="K85" s="70">
        <f t="shared" si="7"/>
        <v>0</v>
      </c>
      <c r="L85" s="94">
        <f t="shared" si="8"/>
        <v>0</v>
      </c>
      <c r="N85" s="160"/>
      <c r="O85" s="157"/>
      <c r="P85" s="157"/>
    </row>
    <row r="86" spans="1:16" x14ac:dyDescent="0.2">
      <c r="A86" s="160"/>
      <c r="B86" s="157"/>
      <c r="C86" s="157"/>
      <c r="N86" s="160"/>
      <c r="O86" s="157"/>
      <c r="P86" s="157"/>
    </row>
    <row r="87" spans="1:16" x14ac:dyDescent="0.2">
      <c r="A87" s="160"/>
      <c r="B87" s="157"/>
      <c r="C87" s="157"/>
      <c r="N87" s="160"/>
      <c r="O87" s="157"/>
      <c r="P87" s="157"/>
    </row>
    <row r="88" spans="1:16" x14ac:dyDescent="0.2">
      <c r="A88" s="160"/>
      <c r="B88" s="157"/>
      <c r="C88" s="157"/>
    </row>
    <row r="89" spans="1:16" x14ac:dyDescent="0.2">
      <c r="A89" s="160"/>
      <c r="B89" s="157"/>
      <c r="C89" s="157"/>
    </row>
    <row r="90" spans="1:16" x14ac:dyDescent="0.2">
      <c r="A90" s="160"/>
      <c r="B90" s="157"/>
      <c r="C90" s="157"/>
    </row>
    <row r="91" spans="1:16" x14ac:dyDescent="0.2">
      <c r="A91" s="160"/>
      <c r="B91" s="157"/>
      <c r="C91" s="157"/>
    </row>
    <row r="92" spans="1:16" x14ac:dyDescent="0.2">
      <c r="A92" s="160"/>
      <c r="B92" s="157"/>
      <c r="C92" s="157"/>
    </row>
    <row r="93" spans="1:16" x14ac:dyDescent="0.2">
      <c r="A93" s="160"/>
      <c r="B93" s="157"/>
      <c r="C93" s="157"/>
    </row>
    <row r="94" spans="1:16" x14ac:dyDescent="0.2">
      <c r="A94" s="160"/>
      <c r="B94" s="157"/>
      <c r="C94" s="157"/>
    </row>
    <row r="95" spans="1:16" x14ac:dyDescent="0.2">
      <c r="A95" s="160"/>
      <c r="B95" s="157"/>
      <c r="C95" s="157"/>
    </row>
    <row r="96" spans="1:16" x14ac:dyDescent="0.2">
      <c r="A96" s="160"/>
      <c r="B96" s="157"/>
      <c r="C96" s="157"/>
    </row>
    <row r="97" spans="1:15" x14ac:dyDescent="0.2">
      <c r="A97" s="160"/>
      <c r="B97" s="157"/>
      <c r="C97" s="157"/>
    </row>
    <row r="98" spans="1:15" x14ac:dyDescent="0.2">
      <c r="A98" s="160"/>
      <c r="B98" s="157"/>
      <c r="C98" s="157"/>
    </row>
    <row r="99" spans="1:15" x14ac:dyDescent="0.2">
      <c r="A99" s="160"/>
      <c r="B99" s="157"/>
      <c r="C99" s="157"/>
    </row>
    <row r="100" spans="1:15" x14ac:dyDescent="0.2">
      <c r="A100" s="160"/>
      <c r="B100" s="157"/>
      <c r="C100" s="157"/>
    </row>
    <row r="101" spans="1:15" x14ac:dyDescent="0.2">
      <c r="A101" s="160"/>
      <c r="B101" s="157"/>
      <c r="C101" s="157"/>
    </row>
    <row r="102" spans="1:15" x14ac:dyDescent="0.2">
      <c r="A102" s="160"/>
      <c r="B102" s="157"/>
      <c r="C102" s="157"/>
    </row>
    <row r="103" spans="1:15" x14ac:dyDescent="0.2">
      <c r="A103" s="160"/>
      <c r="B103" s="157"/>
      <c r="C103" s="157"/>
    </row>
    <row r="104" spans="1:15" x14ac:dyDescent="0.2">
      <c r="A104" s="160"/>
      <c r="B104" s="157"/>
      <c r="C104" s="157"/>
      <c r="M104" s="62">
        <v>125000</v>
      </c>
    </row>
    <row r="105" spans="1:15" x14ac:dyDescent="0.2">
      <c r="A105" s="160"/>
      <c r="B105" s="157"/>
      <c r="C105" s="157"/>
      <c r="O105" s="62">
        <v>12500</v>
      </c>
    </row>
    <row r="106" spans="1:15" x14ac:dyDescent="0.2">
      <c r="A106" s="160"/>
      <c r="B106" s="157"/>
      <c r="C106" s="157"/>
      <c r="M106" s="62">
        <v>112500</v>
      </c>
      <c r="O106" s="62">
        <v>12000</v>
      </c>
    </row>
    <row r="107" spans="1:15" x14ac:dyDescent="0.2">
      <c r="A107" s="160"/>
      <c r="B107" s="157"/>
      <c r="C107" s="157"/>
    </row>
    <row r="108" spans="1:15" x14ac:dyDescent="0.2">
      <c r="A108" s="160"/>
      <c r="B108" s="157"/>
      <c r="C108" s="157"/>
    </row>
    <row r="109" spans="1:15" x14ac:dyDescent="0.2">
      <c r="A109" s="160"/>
      <c r="B109" s="157"/>
      <c r="C109" s="157"/>
    </row>
    <row r="110" spans="1:15" x14ac:dyDescent="0.2">
      <c r="A110" s="160"/>
      <c r="B110" s="157"/>
      <c r="C110" s="157"/>
    </row>
    <row r="111" spans="1:15" x14ac:dyDescent="0.2">
      <c r="A111" s="160"/>
      <c r="B111" s="157"/>
      <c r="C111" s="157"/>
    </row>
    <row r="112" spans="1:15" x14ac:dyDescent="0.2">
      <c r="A112" s="160"/>
      <c r="B112" s="157"/>
      <c r="C112" s="157"/>
    </row>
    <row r="113" spans="1:12" x14ac:dyDescent="0.2">
      <c r="A113" s="160"/>
      <c r="B113" s="157"/>
      <c r="C113" s="157"/>
    </row>
    <row r="114" spans="1:12" x14ac:dyDescent="0.2">
      <c r="A114" s="160"/>
      <c r="B114" s="157"/>
      <c r="C114" s="157"/>
    </row>
    <row r="115" spans="1:12" x14ac:dyDescent="0.2">
      <c r="A115" s="160"/>
      <c r="B115" s="157"/>
      <c r="C115" s="157"/>
    </row>
    <row r="116" spans="1:12" x14ac:dyDescent="0.2">
      <c r="A116" s="160"/>
      <c r="B116" s="157"/>
      <c r="C116" s="157"/>
    </row>
    <row r="117" spans="1:12" x14ac:dyDescent="0.2">
      <c r="A117" s="160"/>
      <c r="B117" s="157"/>
      <c r="C117" s="157"/>
    </row>
    <row r="118" spans="1:12" x14ac:dyDescent="0.2">
      <c r="A118" s="160"/>
      <c r="B118" s="157"/>
      <c r="C118" s="157"/>
    </row>
    <row r="119" spans="1:12" x14ac:dyDescent="0.2">
      <c r="A119" s="160"/>
      <c r="B119" s="157"/>
      <c r="C119" s="157"/>
      <c r="K119" s="76" t="s">
        <v>1148</v>
      </c>
      <c r="L119" s="76">
        <v>70000</v>
      </c>
    </row>
    <row r="120" spans="1:12" x14ac:dyDescent="0.2">
      <c r="A120" s="160"/>
      <c r="B120" s="157"/>
      <c r="C120" s="157"/>
      <c r="K120" s="76" t="s">
        <v>1149</v>
      </c>
      <c r="L120" s="76">
        <v>45000</v>
      </c>
    </row>
    <row r="121" spans="1:12" x14ac:dyDescent="0.2">
      <c r="A121" s="160"/>
      <c r="B121" s="157"/>
      <c r="C121" s="157"/>
      <c r="K121" s="76" t="s">
        <v>7</v>
      </c>
      <c r="L121" s="76"/>
    </row>
    <row r="122" spans="1:12" x14ac:dyDescent="0.2">
      <c r="A122" s="160"/>
      <c r="B122" s="157"/>
      <c r="C122" s="157"/>
      <c r="K122" s="76" t="s">
        <v>353</v>
      </c>
      <c r="L122" s="76">
        <v>-2000</v>
      </c>
    </row>
    <row r="123" spans="1:12" x14ac:dyDescent="0.2">
      <c r="A123" s="160"/>
      <c r="B123" s="157"/>
      <c r="C123" s="157"/>
      <c r="K123" s="76" t="s">
        <v>1150</v>
      </c>
      <c r="L123" s="76">
        <v>-2000</v>
      </c>
    </row>
    <row r="124" spans="1:12" x14ac:dyDescent="0.2">
      <c r="A124" s="160"/>
      <c r="B124" s="157"/>
      <c r="C124" s="157"/>
      <c r="K124" s="76"/>
      <c r="L124" s="76"/>
    </row>
    <row r="125" spans="1:12" x14ac:dyDescent="0.2">
      <c r="A125" s="160"/>
      <c r="B125" s="157"/>
      <c r="C125" s="157"/>
      <c r="K125" s="76"/>
      <c r="L125" s="76"/>
    </row>
    <row r="126" spans="1:12" x14ac:dyDescent="0.2">
      <c r="A126" s="160"/>
      <c r="B126" s="157"/>
      <c r="C126" s="157"/>
      <c r="K126" s="76"/>
      <c r="L126" s="76"/>
    </row>
    <row r="127" spans="1:12" x14ac:dyDescent="0.2">
      <c r="A127" s="160"/>
      <c r="B127" s="157"/>
      <c r="C127" s="157"/>
      <c r="K127" s="76"/>
      <c r="L127" s="76"/>
    </row>
    <row r="128" spans="1:12" x14ac:dyDescent="0.2">
      <c r="A128" s="160"/>
      <c r="B128" s="157"/>
      <c r="C128" s="157"/>
      <c r="K128" s="76" t="s">
        <v>18</v>
      </c>
      <c r="L128" s="76">
        <f>SUM(L119:L127)</f>
        <v>111000</v>
      </c>
    </row>
    <row r="129" spans="1:12" x14ac:dyDescent="0.2">
      <c r="A129" s="160"/>
      <c r="B129" s="157"/>
      <c r="C129" s="157"/>
      <c r="K129" s="62" t="s">
        <v>1151</v>
      </c>
      <c r="L129" s="62">
        <v>86000</v>
      </c>
    </row>
    <row r="130" spans="1:12" x14ac:dyDescent="0.2">
      <c r="A130" s="160"/>
      <c r="B130" s="157"/>
      <c r="C130" s="157"/>
      <c r="K130" s="62" t="s">
        <v>1152</v>
      </c>
      <c r="L130" s="62">
        <v>10000</v>
      </c>
    </row>
    <row r="131" spans="1:12" x14ac:dyDescent="0.2">
      <c r="A131" s="160"/>
      <c r="B131" s="157"/>
      <c r="C131" s="157"/>
    </row>
    <row r="132" spans="1:12" x14ac:dyDescent="0.2">
      <c r="A132" s="160"/>
      <c r="B132" s="157"/>
      <c r="C132" s="157"/>
    </row>
    <row r="133" spans="1:12" x14ac:dyDescent="0.2">
      <c r="A133" s="160"/>
      <c r="B133" s="157"/>
      <c r="C133" s="157"/>
    </row>
    <row r="134" spans="1:12" x14ac:dyDescent="0.2">
      <c r="A134" s="160"/>
      <c r="B134" s="157"/>
      <c r="C134" s="157"/>
    </row>
    <row r="135" spans="1:12" x14ac:dyDescent="0.2">
      <c r="A135" s="160"/>
      <c r="B135" s="157"/>
      <c r="C135" s="157"/>
    </row>
    <row r="136" spans="1:12" x14ac:dyDescent="0.2">
      <c r="A136" s="160"/>
      <c r="B136" s="157"/>
      <c r="C136" s="157"/>
    </row>
    <row r="137" spans="1:12" x14ac:dyDescent="0.2">
      <c r="A137" s="160"/>
      <c r="B137" s="157"/>
      <c r="C137" s="157"/>
    </row>
    <row r="138" spans="1:12" x14ac:dyDescent="0.2">
      <c r="A138" s="160"/>
      <c r="B138" s="157"/>
      <c r="C138" s="157"/>
    </row>
    <row r="139" spans="1:12" x14ac:dyDescent="0.2">
      <c r="A139" s="160"/>
      <c r="B139" s="157"/>
      <c r="C139" s="157"/>
    </row>
    <row r="140" spans="1:12" x14ac:dyDescent="0.2">
      <c r="A140" s="160"/>
      <c r="B140" s="157"/>
      <c r="C140" s="157"/>
    </row>
    <row r="141" spans="1:12" x14ac:dyDescent="0.2">
      <c r="A141" s="160"/>
      <c r="B141" s="157"/>
      <c r="C141" s="157"/>
    </row>
    <row r="142" spans="1:12" x14ac:dyDescent="0.2">
      <c r="A142" s="160"/>
      <c r="B142" s="157"/>
      <c r="C142" s="157"/>
    </row>
    <row r="143" spans="1:12" x14ac:dyDescent="0.2">
      <c r="A143" s="160"/>
      <c r="B143" s="157"/>
      <c r="C143" s="157"/>
    </row>
    <row r="144" spans="1:12" x14ac:dyDescent="0.2">
      <c r="A144" s="160"/>
      <c r="B144" s="157"/>
      <c r="C144" s="157"/>
    </row>
    <row r="145" spans="1:14" x14ac:dyDescent="0.2">
      <c r="A145" s="160"/>
      <c r="B145" s="157"/>
      <c r="C145" s="157"/>
    </row>
    <row r="146" spans="1:14" x14ac:dyDescent="0.2">
      <c r="A146" s="160"/>
      <c r="B146" s="157"/>
      <c r="C146" s="157"/>
      <c r="N146" s="94"/>
    </row>
    <row r="147" spans="1:14" x14ac:dyDescent="0.2">
      <c r="A147" s="160"/>
      <c r="B147" s="157"/>
      <c r="C147" s="157"/>
    </row>
    <row r="148" spans="1:14" x14ac:dyDescent="0.2">
      <c r="A148" s="160"/>
      <c r="B148" s="157"/>
      <c r="C148" s="157"/>
    </row>
    <row r="149" spans="1:14" x14ac:dyDescent="0.2">
      <c r="A149" s="160"/>
      <c r="B149" s="157"/>
      <c r="C149" s="157"/>
    </row>
    <row r="150" spans="1:14" x14ac:dyDescent="0.2">
      <c r="A150" s="160"/>
      <c r="B150" s="157"/>
      <c r="C150" s="157"/>
    </row>
    <row r="151" spans="1:14" x14ac:dyDescent="0.2">
      <c r="A151" s="160"/>
      <c r="B151" s="157"/>
      <c r="C151" s="157"/>
    </row>
    <row r="152" spans="1:14" x14ac:dyDescent="0.2">
      <c r="A152" s="160"/>
      <c r="B152" s="157"/>
      <c r="C152" s="157"/>
    </row>
    <row r="153" spans="1:14" x14ac:dyDescent="0.2">
      <c r="A153" s="160"/>
      <c r="B153" s="157"/>
      <c r="C153" s="157"/>
    </row>
    <row r="154" spans="1:14" x14ac:dyDescent="0.2">
      <c r="A154" s="160"/>
      <c r="B154" s="157"/>
      <c r="C154" s="157"/>
    </row>
    <row r="155" spans="1:14" x14ac:dyDescent="0.2">
      <c r="A155" s="160"/>
      <c r="B155" s="157"/>
      <c r="C155" s="157"/>
    </row>
    <row r="156" spans="1:14" x14ac:dyDescent="0.2">
      <c r="A156" s="160"/>
      <c r="B156" s="157"/>
      <c r="C156" s="157"/>
    </row>
    <row r="157" spans="1:14" x14ac:dyDescent="0.2">
      <c r="A157" s="160"/>
      <c r="B157" s="157"/>
      <c r="C157" s="157"/>
    </row>
    <row r="158" spans="1:14" x14ac:dyDescent="0.2">
      <c r="A158" s="160"/>
      <c r="B158" s="157"/>
      <c r="C158" s="157"/>
    </row>
    <row r="159" spans="1:14" x14ac:dyDescent="0.2">
      <c r="A159" s="160"/>
      <c r="B159" s="157"/>
      <c r="C159" s="157"/>
    </row>
    <row r="160" spans="1:14" x14ac:dyDescent="0.2">
      <c r="A160" s="160"/>
      <c r="B160" s="157"/>
      <c r="C160" s="157"/>
    </row>
    <row r="161" spans="1:3" x14ac:dyDescent="0.2">
      <c r="A161" s="160"/>
      <c r="B161" s="157"/>
      <c r="C161" s="157"/>
    </row>
    <row r="162" spans="1:3" x14ac:dyDescent="0.2">
      <c r="A162" s="160"/>
      <c r="B162" s="157"/>
      <c r="C162" s="157"/>
    </row>
    <row r="163" spans="1:3" x14ac:dyDescent="0.2">
      <c r="A163" s="160"/>
      <c r="B163" s="157"/>
      <c r="C163" s="157"/>
    </row>
    <row r="164" spans="1:3" x14ac:dyDescent="0.2">
      <c r="A164" s="160"/>
      <c r="B164" s="157"/>
      <c r="C164" s="157"/>
    </row>
    <row r="165" spans="1:3" x14ac:dyDescent="0.2">
      <c r="A165" s="160"/>
      <c r="B165" s="157"/>
      <c r="C165" s="157"/>
    </row>
    <row r="166" spans="1:3" x14ac:dyDescent="0.2">
      <c r="A166" s="160"/>
      <c r="B166" s="157"/>
      <c r="C166" s="157"/>
    </row>
    <row r="167" spans="1:3" x14ac:dyDescent="0.2">
      <c r="A167" s="160"/>
      <c r="B167" s="157"/>
      <c r="C167" s="157"/>
    </row>
    <row r="168" spans="1:3" x14ac:dyDescent="0.2">
      <c r="A168" s="160"/>
      <c r="B168" s="157"/>
      <c r="C168" s="157"/>
    </row>
    <row r="169" spans="1:3" x14ac:dyDescent="0.2">
      <c r="A169" s="160"/>
      <c r="B169" s="157"/>
      <c r="C169" s="157"/>
    </row>
    <row r="170" spans="1:3" x14ac:dyDescent="0.2">
      <c r="A170" s="160"/>
      <c r="B170" s="157"/>
      <c r="C170" s="157"/>
    </row>
    <row r="171" spans="1:3" x14ac:dyDescent="0.2">
      <c r="A171" s="160"/>
      <c r="B171" s="157"/>
      <c r="C171" s="157"/>
    </row>
    <row r="172" spans="1:3" x14ac:dyDescent="0.2">
      <c r="A172" s="160"/>
      <c r="B172" s="157"/>
      <c r="C172" s="157"/>
    </row>
    <row r="173" spans="1:3" x14ac:dyDescent="0.2">
      <c r="A173" s="160"/>
      <c r="B173" s="157"/>
      <c r="C173" s="157"/>
    </row>
    <row r="174" spans="1:3" x14ac:dyDescent="0.2">
      <c r="A174" s="160"/>
      <c r="B174" s="157"/>
      <c r="C174" s="157"/>
    </row>
    <row r="175" spans="1:3" x14ac:dyDescent="0.2">
      <c r="A175" s="160"/>
      <c r="B175" s="157"/>
      <c r="C175" s="157"/>
    </row>
    <row r="176" spans="1:3" x14ac:dyDescent="0.2">
      <c r="A176" s="160"/>
      <c r="B176" s="157"/>
      <c r="C176" s="157"/>
    </row>
    <row r="177" spans="1:3" x14ac:dyDescent="0.2">
      <c r="A177" s="160"/>
      <c r="B177" s="157"/>
      <c r="C177" s="157"/>
    </row>
    <row r="178" spans="1:3" x14ac:dyDescent="0.2">
      <c r="A178" s="160"/>
      <c r="B178" s="157"/>
      <c r="C178" s="157"/>
    </row>
    <row r="179" spans="1:3" x14ac:dyDescent="0.2">
      <c r="A179" s="160"/>
      <c r="B179" s="157"/>
      <c r="C179" s="157"/>
    </row>
    <row r="180" spans="1:3" x14ac:dyDescent="0.2">
      <c r="A180" s="160"/>
      <c r="B180" s="157"/>
      <c r="C180" s="157"/>
    </row>
    <row r="181" spans="1:3" x14ac:dyDescent="0.2">
      <c r="A181" s="160"/>
      <c r="B181" s="157"/>
      <c r="C181" s="157"/>
    </row>
    <row r="182" spans="1:3" x14ac:dyDescent="0.2">
      <c r="A182" s="160"/>
      <c r="B182" s="157"/>
      <c r="C182" s="157"/>
    </row>
    <row r="183" spans="1:3" x14ac:dyDescent="0.2">
      <c r="A183" s="160"/>
      <c r="B183" s="157"/>
      <c r="C183" s="157"/>
    </row>
    <row r="184" spans="1:3" x14ac:dyDescent="0.2">
      <c r="A184" s="160"/>
      <c r="B184" s="157"/>
      <c r="C184" s="157"/>
    </row>
    <row r="185" spans="1:3" x14ac:dyDescent="0.2">
      <c r="A185" s="160"/>
      <c r="B185" s="157"/>
      <c r="C185" s="157"/>
    </row>
    <row r="186" spans="1:3" x14ac:dyDescent="0.2">
      <c r="A186" s="160"/>
      <c r="B186" s="157"/>
      <c r="C186" s="157"/>
    </row>
    <row r="187" spans="1:3" x14ac:dyDescent="0.2">
      <c r="A187" s="160"/>
      <c r="B187" s="157"/>
      <c r="C187" s="157"/>
    </row>
    <row r="188" spans="1:3" x14ac:dyDescent="0.2">
      <c r="A188" s="160"/>
      <c r="B188" s="157"/>
      <c r="C188" s="157"/>
    </row>
    <row r="189" spans="1:3" x14ac:dyDescent="0.2">
      <c r="A189" s="160"/>
      <c r="B189" s="157"/>
      <c r="C189" s="157"/>
    </row>
    <row r="190" spans="1:3" x14ac:dyDescent="0.2">
      <c r="A190" s="160"/>
      <c r="B190" s="157"/>
      <c r="C190" s="157"/>
    </row>
    <row r="191" spans="1:3" x14ac:dyDescent="0.2">
      <c r="A191" s="160"/>
      <c r="B191" s="157"/>
      <c r="C191" s="157"/>
    </row>
    <row r="192" spans="1:3" x14ac:dyDescent="0.2">
      <c r="A192" s="160"/>
      <c r="B192" s="157"/>
      <c r="C192" s="157"/>
    </row>
    <row r="193" spans="1:3" x14ac:dyDescent="0.2">
      <c r="A193" s="160"/>
      <c r="B193" s="157"/>
      <c r="C193" s="157"/>
    </row>
    <row r="194" spans="1:3" x14ac:dyDescent="0.2">
      <c r="A194" s="160"/>
      <c r="B194" s="157"/>
      <c r="C194" s="157"/>
    </row>
    <row r="195" spans="1:3" x14ac:dyDescent="0.2">
      <c r="A195" s="160"/>
      <c r="B195" s="157"/>
      <c r="C195" s="157"/>
    </row>
    <row r="196" spans="1:3" x14ac:dyDescent="0.2">
      <c r="A196" s="160"/>
      <c r="B196" s="157"/>
      <c r="C196" s="157"/>
    </row>
    <row r="197" spans="1:3" x14ac:dyDescent="0.2">
      <c r="A197" s="160"/>
      <c r="B197" s="157"/>
      <c r="C197" s="157"/>
    </row>
    <row r="198" spans="1:3" x14ac:dyDescent="0.2">
      <c r="A198" s="160"/>
      <c r="B198" s="157"/>
      <c r="C198" s="157"/>
    </row>
    <row r="199" spans="1:3" x14ac:dyDescent="0.2">
      <c r="A199" s="160"/>
      <c r="B199" s="157"/>
      <c r="C199" s="157"/>
    </row>
    <row r="200" spans="1:3" x14ac:dyDescent="0.2">
      <c r="A200" s="160"/>
      <c r="B200" s="157"/>
      <c r="C200" s="157"/>
    </row>
    <row r="201" spans="1:3" x14ac:dyDescent="0.2">
      <c r="A201" s="160"/>
      <c r="B201" s="157"/>
      <c r="C201" s="157"/>
    </row>
    <row r="202" spans="1:3" x14ac:dyDescent="0.2">
      <c r="A202" s="160"/>
      <c r="B202" s="157"/>
      <c r="C202" s="157"/>
    </row>
    <row r="203" spans="1:3" x14ac:dyDescent="0.2">
      <c r="A203" s="160"/>
      <c r="B203" s="157"/>
      <c r="C203" s="157"/>
    </row>
    <row r="204" spans="1:3" x14ac:dyDescent="0.2">
      <c r="A204" s="160"/>
      <c r="B204" s="157"/>
      <c r="C204" s="157"/>
    </row>
    <row r="205" spans="1:3" x14ac:dyDescent="0.2">
      <c r="A205" s="160"/>
      <c r="B205" s="157"/>
      <c r="C205" s="157"/>
    </row>
    <row r="206" spans="1:3" x14ac:dyDescent="0.2">
      <c r="A206" s="160"/>
      <c r="B206" s="157"/>
      <c r="C206" s="157"/>
    </row>
    <row r="207" spans="1:3" x14ac:dyDescent="0.2">
      <c r="A207" s="160"/>
      <c r="B207" s="157"/>
      <c r="C207" s="157"/>
    </row>
    <row r="208" spans="1:3" x14ac:dyDescent="0.2">
      <c r="A208" s="160"/>
      <c r="B208" s="157"/>
      <c r="C208" s="157"/>
    </row>
    <row r="209" spans="1:3" x14ac:dyDescent="0.2">
      <c r="A209" s="160"/>
      <c r="B209" s="157"/>
      <c r="C209" s="157"/>
    </row>
    <row r="210" spans="1:3" x14ac:dyDescent="0.2">
      <c r="A210" s="160"/>
      <c r="B210" s="157"/>
      <c r="C210" s="157"/>
    </row>
    <row r="211" spans="1:3" x14ac:dyDescent="0.2">
      <c r="A211" s="160"/>
      <c r="B211" s="157"/>
      <c r="C211" s="157"/>
    </row>
    <row r="212" spans="1:3" x14ac:dyDescent="0.2">
      <c r="A212" s="160"/>
      <c r="B212" s="157"/>
      <c r="C212" s="157"/>
    </row>
    <row r="213" spans="1:3" x14ac:dyDescent="0.2">
      <c r="A213" s="160"/>
      <c r="B213" s="157"/>
      <c r="C213" s="157"/>
    </row>
    <row r="214" spans="1:3" x14ac:dyDescent="0.2">
      <c r="A214" s="160"/>
      <c r="B214" s="157"/>
      <c r="C214" s="157"/>
    </row>
    <row r="215" spans="1:3" x14ac:dyDescent="0.2">
      <c r="A215" s="160"/>
      <c r="B215" s="157"/>
      <c r="C215" s="157"/>
    </row>
    <row r="216" spans="1:3" x14ac:dyDescent="0.2">
      <c r="A216" s="160"/>
      <c r="B216" s="157"/>
      <c r="C216" s="157"/>
    </row>
    <row r="217" spans="1:3" x14ac:dyDescent="0.2">
      <c r="A217" s="160"/>
      <c r="B217" s="157"/>
      <c r="C217" s="157"/>
    </row>
    <row r="218" spans="1:3" x14ac:dyDescent="0.2">
      <c r="A218" s="160"/>
      <c r="B218" s="157"/>
      <c r="C218" s="157"/>
    </row>
  </sheetData>
  <sortState xmlns:xlrd2="http://schemas.microsoft.com/office/spreadsheetml/2017/richdata2" ref="B22:K32">
    <sortCondition ref="B22:B32"/>
  </sortState>
  <mergeCells count="32">
    <mergeCell ref="N2:O2"/>
    <mergeCell ref="P3:P16"/>
    <mergeCell ref="F70:K70"/>
    <mergeCell ref="B21:F21"/>
    <mergeCell ref="B30:F30"/>
    <mergeCell ref="B20:J20"/>
    <mergeCell ref="B22:F22"/>
    <mergeCell ref="B16:E16"/>
    <mergeCell ref="A2:J2"/>
    <mergeCell ref="K5:K7"/>
    <mergeCell ref="K11:K14"/>
    <mergeCell ref="B23:F23"/>
    <mergeCell ref="B24:F24"/>
    <mergeCell ref="B25:F25"/>
    <mergeCell ref="H52:L52"/>
    <mergeCell ref="B32:F32"/>
    <mergeCell ref="S42:T42"/>
    <mergeCell ref="J5:J7"/>
    <mergeCell ref="I11:I14"/>
    <mergeCell ref="J11:J14"/>
    <mergeCell ref="H38:I38"/>
    <mergeCell ref="H36:I36"/>
    <mergeCell ref="H37:I37"/>
    <mergeCell ref="D42:E44"/>
    <mergeCell ref="H11:H14"/>
    <mergeCell ref="I5:I7"/>
    <mergeCell ref="B31:F31"/>
    <mergeCell ref="G11:G14"/>
    <mergeCell ref="B26:F26"/>
    <mergeCell ref="B27:F27"/>
    <mergeCell ref="B28:F28"/>
    <mergeCell ref="B29:F29"/>
  </mergeCells>
  <conditionalFormatting sqref="I4:I5 I11">
    <cfRule type="cellIs" dxfId="13" priority="17" operator="greaterThan">
      <formula>F4</formula>
    </cfRule>
    <cfRule type="cellIs" dxfId="12" priority="18" operator="greaterThan">
      <formula>8100</formula>
    </cfRule>
    <cfRule type="cellIs" dxfId="11" priority="19" operator="greaterThan">
      <formula>F4</formula>
    </cfRule>
    <cfRule type="cellIs" dxfId="10" priority="20" operator="greaterThan">
      <formula>"E2"</formula>
    </cfRule>
  </conditionalFormatting>
  <conditionalFormatting sqref="I15:J15">
    <cfRule type="cellIs" dxfId="9" priority="12" operator="greaterThan">
      <formula>0</formula>
    </cfRule>
    <cfRule type="cellIs" dxfId="8" priority="13" operator="greaterThan">
      <formula>0</formula>
    </cfRule>
  </conditionalFormatting>
  <conditionalFormatting sqref="J4:J5 J11">
    <cfRule type="cellIs" dxfId="7" priority="16" operator="greaterThan">
      <formula>0</formula>
    </cfRule>
  </conditionalFormatting>
  <conditionalFormatting sqref="J17">
    <cfRule type="cellIs" dxfId="6" priority="10" operator="greaterThan">
      <formula>0</formula>
    </cfRule>
    <cfRule type="cellIs" dxfId="5" priority="11" operator="greaterThan">
      <formula>0</formula>
    </cfRule>
  </conditionalFormatting>
  <conditionalFormatting sqref="J22:J34">
    <cfRule type="cellIs" dxfId="4" priority="1" operator="greaterThan">
      <formula>0</formula>
    </cfRule>
  </conditionalFormatting>
  <conditionalFormatting sqref="J34">
    <cfRule type="cellIs" dxfId="3" priority="9" operator="greaterThan">
      <formula>0</formula>
    </cfRule>
  </conditionalFormatting>
  <pageMargins left="0.7" right="0.7" top="0.75" bottom="0.75" header="0.3" footer="0.3"/>
  <pageSetup orientation="portrait" r:id="rId1"/>
  <ignoredErrors>
    <ignoredError sqref="I11 G33 I33" formulaRange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FF805-7AFF-4C46-825E-58AA162B1776}">
  <dimension ref="A1:Z43"/>
  <sheetViews>
    <sheetView zoomScaleNormal="100" workbookViewId="0">
      <selection activeCell="Z26" sqref="Z26:Z43"/>
    </sheetView>
  </sheetViews>
  <sheetFormatPr defaultColWidth="8.7109375" defaultRowHeight="12.75" x14ac:dyDescent="0.2"/>
  <cols>
    <col min="1" max="1" width="4.140625" style="2" bestFit="1" customWidth="1"/>
    <col min="2" max="2" width="7" style="2" bestFit="1" customWidth="1"/>
    <col min="3" max="3" width="9.28515625" style="2" bestFit="1" customWidth="1"/>
    <col min="4" max="4" width="8.140625" style="2" bestFit="1" customWidth="1"/>
    <col min="5" max="5" width="8.140625" style="2" customWidth="1"/>
    <col min="6" max="7" width="10.28515625" style="2" bestFit="1" customWidth="1"/>
    <col min="8" max="8" width="12.140625" style="2" bestFit="1" customWidth="1"/>
    <col min="9" max="11" width="21.140625" style="2" customWidth="1"/>
    <col min="12" max="12" width="11.28515625" style="2" customWidth="1"/>
    <col min="13" max="13" width="12" style="2" customWidth="1"/>
    <col min="14" max="14" width="10.28515625" style="2" customWidth="1"/>
    <col min="15" max="18" width="8.7109375" style="2"/>
    <col min="19" max="19" width="29.7109375" style="2" customWidth="1"/>
    <col min="20" max="20" width="31" style="2" customWidth="1"/>
    <col min="21" max="21" width="8.85546875" style="2" bestFit="1" customWidth="1"/>
    <col min="22" max="22" width="18.28515625" style="2" customWidth="1"/>
    <col min="23" max="23" width="9.7109375" style="2" bestFit="1" customWidth="1"/>
    <col min="24" max="26" width="8.85546875" style="2" bestFit="1" customWidth="1"/>
    <col min="27" max="16384" width="8.7109375" style="2"/>
  </cols>
  <sheetData>
    <row r="1" spans="1:20" x14ac:dyDescent="0.2">
      <c r="A1" s="6" t="s">
        <v>172</v>
      </c>
      <c r="B1" s="6" t="s">
        <v>208</v>
      </c>
      <c r="C1" s="6" t="s">
        <v>1153</v>
      </c>
      <c r="D1" s="6" t="s">
        <v>17</v>
      </c>
      <c r="E1" s="6" t="s">
        <v>254</v>
      </c>
      <c r="F1" s="6" t="s">
        <v>172</v>
      </c>
      <c r="G1" s="6" t="s">
        <v>18</v>
      </c>
      <c r="H1" s="6" t="s">
        <v>499</v>
      </c>
      <c r="I1" s="385" t="s">
        <v>1154</v>
      </c>
      <c r="J1" s="383" t="s">
        <v>254</v>
      </c>
      <c r="K1" s="383" t="s">
        <v>18</v>
      </c>
    </row>
    <row r="2" spans="1:20" x14ac:dyDescent="0.2">
      <c r="A2" s="370">
        <v>1</v>
      </c>
      <c r="B2" s="5" t="s">
        <v>569</v>
      </c>
      <c r="C2" s="4">
        <v>4970.7299999999996</v>
      </c>
      <c r="D2" s="4">
        <v>1290.83</v>
      </c>
      <c r="E2" s="4">
        <v>1502.64</v>
      </c>
      <c r="F2" s="4">
        <f t="shared" ref="F2:F19" si="0">C2+D2</f>
        <v>6261.5599999999995</v>
      </c>
      <c r="G2" s="4">
        <f>F2</f>
        <v>6261.5599999999995</v>
      </c>
      <c r="H2" s="4"/>
      <c r="L2" s="708" t="s">
        <v>1155</v>
      </c>
      <c r="M2" s="708"/>
      <c r="N2" s="4">
        <v>100000</v>
      </c>
    </row>
    <row r="3" spans="1:20" x14ac:dyDescent="0.2">
      <c r="A3" s="5">
        <v>2</v>
      </c>
      <c r="B3" s="5" t="s">
        <v>570</v>
      </c>
      <c r="C3" s="4">
        <v>5034.8900000000003</v>
      </c>
      <c r="D3" s="4">
        <v>1226.67</v>
      </c>
      <c r="E3" s="4">
        <f t="shared" ref="E3:E19" si="1">D3*18/100</f>
        <v>220.8006</v>
      </c>
      <c r="F3" s="4">
        <f t="shared" si="0"/>
        <v>6261.56</v>
      </c>
      <c r="G3" s="4">
        <f t="shared" ref="G3:G19" si="2">F3+E3</f>
        <v>6482.3606</v>
      </c>
      <c r="H3" s="4">
        <f>N2-C3</f>
        <v>94965.11</v>
      </c>
      <c r="I3" s="2">
        <f t="shared" ref="I3:I5" si="3">H3*3/100</f>
        <v>2848.9533000000001</v>
      </c>
      <c r="J3" s="2">
        <f t="shared" ref="J3:J5" si="4">I3*18/100</f>
        <v>512.81159400000001</v>
      </c>
      <c r="K3" s="3">
        <f t="shared" ref="K3:K5" si="5">I3+J3+H3</f>
        <v>98326.874894000008</v>
      </c>
      <c r="L3" s="708" t="s">
        <v>1156</v>
      </c>
      <c r="M3" s="708"/>
      <c r="N3" s="4">
        <v>1000</v>
      </c>
      <c r="T3" s="2">
        <f>93000*10</f>
        <v>930000</v>
      </c>
    </row>
    <row r="4" spans="1:20" x14ac:dyDescent="0.2">
      <c r="A4" s="5">
        <v>3</v>
      </c>
      <c r="B4" s="5" t="s">
        <v>571</v>
      </c>
      <c r="C4" s="4">
        <v>5099.88</v>
      </c>
      <c r="D4" s="4">
        <v>1161.68</v>
      </c>
      <c r="E4" s="4">
        <f t="shared" si="1"/>
        <v>209.10240000000002</v>
      </c>
      <c r="F4" s="4">
        <f t="shared" si="0"/>
        <v>6261.56</v>
      </c>
      <c r="G4" s="4">
        <f t="shared" si="2"/>
        <v>6470.6624000000002</v>
      </c>
      <c r="H4" s="4">
        <f t="shared" ref="H4:H19" si="6">H3-C4</f>
        <v>89865.23</v>
      </c>
      <c r="I4" s="2">
        <f t="shared" si="3"/>
        <v>2695.9569000000001</v>
      </c>
      <c r="J4" s="2">
        <f t="shared" si="4"/>
        <v>485.27224200000006</v>
      </c>
      <c r="K4" s="3">
        <f t="shared" si="5"/>
        <v>93046.459141999992</v>
      </c>
      <c r="L4" s="708" t="s">
        <v>1157</v>
      </c>
      <c r="M4" s="708"/>
      <c r="N4" s="4">
        <f>N3*18/100</f>
        <v>180</v>
      </c>
    </row>
    <row r="5" spans="1:20" x14ac:dyDescent="0.2">
      <c r="A5" s="5">
        <v>4</v>
      </c>
      <c r="B5" s="5" t="s">
        <v>560</v>
      </c>
      <c r="C5" s="4">
        <v>5165.71</v>
      </c>
      <c r="D5" s="4">
        <v>1095.8499999999999</v>
      </c>
      <c r="E5" s="4">
        <f t="shared" si="1"/>
        <v>197.25299999999999</v>
      </c>
      <c r="F5" s="4">
        <f t="shared" si="0"/>
        <v>6261.5599999999995</v>
      </c>
      <c r="G5" s="4">
        <f t="shared" si="2"/>
        <v>6458.8129999999992</v>
      </c>
      <c r="H5" s="4">
        <f t="shared" si="6"/>
        <v>84699.51999999999</v>
      </c>
      <c r="I5" s="2">
        <f t="shared" si="3"/>
        <v>2540.9855999999995</v>
      </c>
      <c r="J5" s="2">
        <f t="shared" si="4"/>
        <v>457.37740799999995</v>
      </c>
      <c r="K5" s="3">
        <f t="shared" si="5"/>
        <v>87697.88300799999</v>
      </c>
      <c r="L5" s="708" t="s">
        <v>1158</v>
      </c>
      <c r="M5" s="708"/>
      <c r="N5" s="4">
        <v>0</v>
      </c>
    </row>
    <row r="6" spans="1:20" x14ac:dyDescent="0.2">
      <c r="A6" s="5">
        <v>5</v>
      </c>
      <c r="B6" s="5" t="s">
        <v>561</v>
      </c>
      <c r="C6" s="4">
        <v>5232.3900000000003</v>
      </c>
      <c r="D6" s="4">
        <v>1029.17</v>
      </c>
      <c r="E6" s="4">
        <f t="shared" si="1"/>
        <v>185.25060000000002</v>
      </c>
      <c r="F6" s="4">
        <f t="shared" si="0"/>
        <v>6261.56</v>
      </c>
      <c r="G6" s="4">
        <f t="shared" si="2"/>
        <v>6446.8106000000007</v>
      </c>
      <c r="H6" s="4">
        <f t="shared" si="6"/>
        <v>79467.12999999999</v>
      </c>
      <c r="I6" s="2">
        <f>H6*3/100</f>
        <v>2384.0138999999995</v>
      </c>
      <c r="J6" s="2">
        <f>I6*18/100</f>
        <v>429.12250199999988</v>
      </c>
      <c r="K6" s="3">
        <f>I6+J6+H6</f>
        <v>82280.266401999994</v>
      </c>
      <c r="L6" s="708" t="s">
        <v>1159</v>
      </c>
      <c r="M6" s="708"/>
      <c r="N6" s="4">
        <f>N5*18/100</f>
        <v>0</v>
      </c>
      <c r="S6" s="2" t="s">
        <v>1006</v>
      </c>
      <c r="T6" s="2">
        <v>1093977</v>
      </c>
    </row>
    <row r="7" spans="1:20" x14ac:dyDescent="0.2">
      <c r="A7" s="5">
        <v>6</v>
      </c>
      <c r="B7" s="5" t="s">
        <v>562</v>
      </c>
      <c r="C7" s="4">
        <v>5299.94</v>
      </c>
      <c r="D7" s="4">
        <v>961.62</v>
      </c>
      <c r="E7" s="4">
        <f t="shared" si="1"/>
        <v>173.0916</v>
      </c>
      <c r="F7" s="4">
        <f t="shared" si="0"/>
        <v>6261.5599999999995</v>
      </c>
      <c r="G7" s="4">
        <f t="shared" si="2"/>
        <v>6434.6515999999992</v>
      </c>
      <c r="H7" s="4">
        <f t="shared" si="6"/>
        <v>74167.189999999988</v>
      </c>
      <c r="I7" s="2">
        <f>H7*3/100</f>
        <v>2225.0156999999995</v>
      </c>
      <c r="J7" s="2">
        <f t="shared" ref="J7:J19" si="7">I7*18/100</f>
        <v>400.50282599999991</v>
      </c>
      <c r="K7" s="3">
        <f t="shared" ref="K7:K19" si="8">I7+J7+H7</f>
        <v>76792.708525999988</v>
      </c>
      <c r="L7" s="708" t="s">
        <v>1160</v>
      </c>
      <c r="M7" s="708"/>
      <c r="N7" s="4">
        <f>SUM(G3:G19)</f>
        <v>108501.71939999999</v>
      </c>
      <c r="S7" s="384">
        <v>9.5</v>
      </c>
      <c r="T7" s="2">
        <f>(T6*S7/100)</f>
        <v>103927.815</v>
      </c>
    </row>
    <row r="8" spans="1:20" x14ac:dyDescent="0.2">
      <c r="A8" s="5">
        <v>7</v>
      </c>
      <c r="B8" s="5" t="s">
        <v>563</v>
      </c>
      <c r="C8" s="4">
        <v>5368.35</v>
      </c>
      <c r="D8" s="4">
        <v>893.21</v>
      </c>
      <c r="E8" s="4">
        <f t="shared" si="1"/>
        <v>160.77780000000001</v>
      </c>
      <c r="F8" s="4">
        <f t="shared" si="0"/>
        <v>6261.56</v>
      </c>
      <c r="G8" s="4">
        <f t="shared" si="2"/>
        <v>6422.3378000000002</v>
      </c>
      <c r="H8" s="4">
        <f t="shared" si="6"/>
        <v>68798.839999999982</v>
      </c>
      <c r="I8" s="2">
        <f t="shared" ref="I8:I19" si="9">H8*3/100</f>
        <v>2063.9651999999996</v>
      </c>
      <c r="J8" s="2">
        <f t="shared" si="7"/>
        <v>371.51373599999994</v>
      </c>
      <c r="K8" s="3">
        <f t="shared" si="8"/>
        <v>71234.318935999981</v>
      </c>
      <c r="L8" s="708" t="s">
        <v>297</v>
      </c>
      <c r="M8" s="708"/>
      <c r="N8" s="4">
        <f>N7+SUM(N3:N6)-N2</f>
        <v>9681.7193999999872</v>
      </c>
      <c r="T8" s="2">
        <f>T6+T7</f>
        <v>1197904.8149999999</v>
      </c>
    </row>
    <row r="9" spans="1:20" x14ac:dyDescent="0.2">
      <c r="A9" s="5">
        <v>8</v>
      </c>
      <c r="B9" s="5" t="s">
        <v>564</v>
      </c>
      <c r="C9" s="4">
        <v>5437.65</v>
      </c>
      <c r="D9" s="4">
        <v>823.91</v>
      </c>
      <c r="E9" s="4">
        <f t="shared" si="1"/>
        <v>148.3038</v>
      </c>
      <c r="F9" s="4">
        <f t="shared" si="0"/>
        <v>6261.5599999999995</v>
      </c>
      <c r="G9" s="4">
        <f t="shared" si="2"/>
        <v>6409.8637999999992</v>
      </c>
      <c r="H9" s="4">
        <f t="shared" si="6"/>
        <v>63361.189999999981</v>
      </c>
      <c r="I9" s="2">
        <f t="shared" si="9"/>
        <v>1900.8356999999994</v>
      </c>
      <c r="J9" s="2">
        <f t="shared" si="7"/>
        <v>342.15042599999987</v>
      </c>
      <c r="K9" s="3">
        <f t="shared" si="8"/>
        <v>65604.176125999977</v>
      </c>
      <c r="L9" s="708" t="s">
        <v>1161</v>
      </c>
      <c r="M9" s="708"/>
      <c r="N9" s="4">
        <f>N8/18</f>
        <v>537.87329999999929</v>
      </c>
      <c r="T9" s="2">
        <f>T8*9</f>
        <v>10781143.334999999</v>
      </c>
    </row>
    <row r="10" spans="1:20" x14ac:dyDescent="0.2">
      <c r="A10" s="5">
        <v>9</v>
      </c>
      <c r="B10" s="5" t="s">
        <v>565</v>
      </c>
      <c r="C10" s="4">
        <v>5507.84</v>
      </c>
      <c r="D10" s="4">
        <v>753.72</v>
      </c>
      <c r="E10" s="4">
        <f t="shared" si="1"/>
        <v>135.6696</v>
      </c>
      <c r="F10" s="4">
        <f t="shared" si="0"/>
        <v>6261.56</v>
      </c>
      <c r="G10" s="4">
        <f t="shared" si="2"/>
        <v>6397.2296000000006</v>
      </c>
      <c r="H10" s="4">
        <f t="shared" si="6"/>
        <v>57853.349999999977</v>
      </c>
      <c r="I10" s="2">
        <f t="shared" si="9"/>
        <v>1735.6004999999993</v>
      </c>
      <c r="J10" s="2">
        <f t="shared" si="7"/>
        <v>312.40808999999985</v>
      </c>
      <c r="K10" s="3">
        <f t="shared" si="8"/>
        <v>59901.358589999974</v>
      </c>
    </row>
    <row r="11" spans="1:20" x14ac:dyDescent="0.2">
      <c r="A11" s="5">
        <v>10</v>
      </c>
      <c r="B11" s="5" t="s">
        <v>566</v>
      </c>
      <c r="C11" s="4">
        <v>5578.93</v>
      </c>
      <c r="D11" s="4">
        <v>682.63</v>
      </c>
      <c r="E11" s="4">
        <f t="shared" si="1"/>
        <v>122.8734</v>
      </c>
      <c r="F11" s="4">
        <f t="shared" si="0"/>
        <v>6261.56</v>
      </c>
      <c r="G11" s="4">
        <f t="shared" si="2"/>
        <v>6384.4334000000008</v>
      </c>
      <c r="H11" s="4">
        <f t="shared" si="6"/>
        <v>52274.419999999976</v>
      </c>
      <c r="I11" s="2">
        <f t="shared" si="9"/>
        <v>1568.2325999999991</v>
      </c>
      <c r="J11" s="2">
        <f t="shared" si="7"/>
        <v>282.28186799999986</v>
      </c>
      <c r="K11" s="3">
        <f t="shared" si="8"/>
        <v>54124.934467999978</v>
      </c>
    </row>
    <row r="12" spans="1:20" x14ac:dyDescent="0.2">
      <c r="A12" s="5">
        <v>11</v>
      </c>
      <c r="B12" s="5" t="s">
        <v>567</v>
      </c>
      <c r="C12" s="4">
        <v>5650.95</v>
      </c>
      <c r="D12" s="4">
        <v>610.61</v>
      </c>
      <c r="E12" s="4">
        <f t="shared" si="1"/>
        <v>109.90979999999999</v>
      </c>
      <c r="F12" s="4">
        <f t="shared" si="0"/>
        <v>6261.5599999999995</v>
      </c>
      <c r="G12" s="4">
        <f t="shared" si="2"/>
        <v>6371.4697999999999</v>
      </c>
      <c r="H12" s="4">
        <f t="shared" si="6"/>
        <v>46623.469999999979</v>
      </c>
      <c r="I12" s="2">
        <f t="shared" si="9"/>
        <v>1398.7040999999995</v>
      </c>
      <c r="J12" s="2">
        <f t="shared" si="7"/>
        <v>251.76673799999989</v>
      </c>
      <c r="K12" s="3">
        <f t="shared" si="8"/>
        <v>48273.94083799998</v>
      </c>
    </row>
    <row r="13" spans="1:20" x14ac:dyDescent="0.2">
      <c r="A13" s="5">
        <v>12</v>
      </c>
      <c r="B13" s="5" t="s">
        <v>568</v>
      </c>
      <c r="C13" s="4">
        <v>5723.89</v>
      </c>
      <c r="D13" s="4">
        <v>537.66999999999996</v>
      </c>
      <c r="E13" s="4">
        <f t="shared" si="1"/>
        <v>96.780599999999993</v>
      </c>
      <c r="F13" s="4">
        <f t="shared" si="0"/>
        <v>6261.56</v>
      </c>
      <c r="G13" s="4">
        <f t="shared" si="2"/>
        <v>6358.3406000000004</v>
      </c>
      <c r="H13" s="4">
        <f t="shared" si="6"/>
        <v>40899.57999999998</v>
      </c>
      <c r="I13" s="2">
        <f t="shared" si="9"/>
        <v>1226.9873999999993</v>
      </c>
      <c r="J13" s="2">
        <f t="shared" si="7"/>
        <v>220.85773199999988</v>
      </c>
      <c r="K13" s="3">
        <f t="shared" si="8"/>
        <v>42347.425131999982</v>
      </c>
    </row>
    <row r="14" spans="1:20" x14ac:dyDescent="0.2">
      <c r="A14" s="5">
        <v>13</v>
      </c>
      <c r="B14" s="5" t="s">
        <v>569</v>
      </c>
      <c r="C14" s="4">
        <v>5797.78</v>
      </c>
      <c r="D14" s="4">
        <v>463.78</v>
      </c>
      <c r="E14" s="4">
        <f t="shared" si="1"/>
        <v>83.480399999999989</v>
      </c>
      <c r="F14" s="4">
        <f t="shared" si="0"/>
        <v>6261.5599999999995</v>
      </c>
      <c r="G14" s="4">
        <f t="shared" si="2"/>
        <v>6345.0403999999999</v>
      </c>
      <c r="H14" s="4">
        <f t="shared" si="6"/>
        <v>35101.799999999981</v>
      </c>
      <c r="I14" s="2">
        <f t="shared" si="9"/>
        <v>1053.0539999999994</v>
      </c>
      <c r="J14" s="2">
        <f t="shared" si="7"/>
        <v>189.54971999999989</v>
      </c>
      <c r="K14" s="3">
        <f t="shared" si="8"/>
        <v>36344.40371999998</v>
      </c>
      <c r="P14" s="2">
        <v>3150</v>
      </c>
      <c r="Q14" s="2">
        <f>P14*18/100</f>
        <v>567</v>
      </c>
    </row>
    <row r="15" spans="1:20" x14ac:dyDescent="0.2">
      <c r="A15" s="5">
        <v>14</v>
      </c>
      <c r="B15" s="5" t="s">
        <v>570</v>
      </c>
      <c r="C15" s="4">
        <v>5872.62</v>
      </c>
      <c r="D15" s="4">
        <v>388.94</v>
      </c>
      <c r="E15" s="4">
        <f t="shared" si="1"/>
        <v>70.009200000000007</v>
      </c>
      <c r="F15" s="4">
        <f t="shared" si="0"/>
        <v>6261.5599999999995</v>
      </c>
      <c r="G15" s="4">
        <f t="shared" si="2"/>
        <v>6331.5691999999999</v>
      </c>
      <c r="H15" s="4">
        <f t="shared" si="6"/>
        <v>29229.179999999982</v>
      </c>
      <c r="I15" s="2">
        <f t="shared" si="9"/>
        <v>876.87539999999944</v>
      </c>
      <c r="J15" s="2">
        <f t="shared" si="7"/>
        <v>157.83757199999988</v>
      </c>
      <c r="K15" s="3">
        <f t="shared" si="8"/>
        <v>30263.89297199998</v>
      </c>
      <c r="P15" s="2">
        <v>5198</v>
      </c>
      <c r="Q15" s="2">
        <f>P15*18/100</f>
        <v>935.64</v>
      </c>
    </row>
    <row r="16" spans="1:20" x14ac:dyDescent="0.2">
      <c r="A16" s="5">
        <v>15</v>
      </c>
      <c r="B16" s="5" t="s">
        <v>571</v>
      </c>
      <c r="C16" s="4">
        <v>5948.42</v>
      </c>
      <c r="D16" s="4">
        <v>313.14</v>
      </c>
      <c r="E16" s="4">
        <f t="shared" si="1"/>
        <v>56.365199999999994</v>
      </c>
      <c r="F16" s="4">
        <f t="shared" si="0"/>
        <v>6261.56</v>
      </c>
      <c r="G16" s="4">
        <f t="shared" si="2"/>
        <v>6317.9252000000006</v>
      </c>
      <c r="H16" s="4">
        <f t="shared" si="6"/>
        <v>23280.75999999998</v>
      </c>
      <c r="I16" s="2">
        <f t="shared" si="9"/>
        <v>698.42279999999937</v>
      </c>
      <c r="J16" s="2">
        <f t="shared" si="7"/>
        <v>125.71610399999989</v>
      </c>
      <c r="K16" s="3">
        <f t="shared" si="8"/>
        <v>24104.89890399998</v>
      </c>
    </row>
    <row r="17" spans="1:26" x14ac:dyDescent="0.2">
      <c r="A17" s="5">
        <v>16</v>
      </c>
      <c r="B17" s="5" t="s">
        <v>560</v>
      </c>
      <c r="C17" s="4">
        <v>6025.21</v>
      </c>
      <c r="D17" s="4">
        <v>236.35</v>
      </c>
      <c r="E17" s="4">
        <f t="shared" si="1"/>
        <v>42.542999999999999</v>
      </c>
      <c r="F17" s="4">
        <f t="shared" si="0"/>
        <v>6261.56</v>
      </c>
      <c r="G17" s="4">
        <f t="shared" si="2"/>
        <v>6304.1030000000001</v>
      </c>
      <c r="H17" s="4">
        <f t="shared" si="6"/>
        <v>17255.549999999981</v>
      </c>
      <c r="I17" s="2">
        <f t="shared" si="9"/>
        <v>517.66649999999947</v>
      </c>
      <c r="J17" s="2">
        <f t="shared" si="7"/>
        <v>93.179969999999898</v>
      </c>
      <c r="K17" s="3">
        <f t="shared" si="8"/>
        <v>17866.396469999981</v>
      </c>
    </row>
    <row r="18" spans="1:26" x14ac:dyDescent="0.2">
      <c r="A18" s="5">
        <v>17</v>
      </c>
      <c r="B18" s="5" t="s">
        <v>561</v>
      </c>
      <c r="C18" s="4">
        <v>6102.98</v>
      </c>
      <c r="D18" s="4">
        <v>158.58000000000001</v>
      </c>
      <c r="E18" s="4">
        <f t="shared" si="1"/>
        <v>28.5444</v>
      </c>
      <c r="F18" s="4">
        <f t="shared" si="0"/>
        <v>6261.5599999999995</v>
      </c>
      <c r="G18" s="4">
        <f t="shared" si="2"/>
        <v>6290.1043999999993</v>
      </c>
      <c r="H18" s="4">
        <f t="shared" si="6"/>
        <v>11152.569999999982</v>
      </c>
      <c r="I18" s="2">
        <f t="shared" si="9"/>
        <v>334.57709999999946</v>
      </c>
      <c r="J18" s="2">
        <f t="shared" si="7"/>
        <v>60.223877999999907</v>
      </c>
      <c r="K18" s="3">
        <f t="shared" si="8"/>
        <v>11547.370977999981</v>
      </c>
    </row>
    <row r="19" spans="1:26" x14ac:dyDescent="0.2">
      <c r="A19" s="5">
        <v>18</v>
      </c>
      <c r="B19" s="5" t="s">
        <v>562</v>
      </c>
      <c r="C19" s="4">
        <v>6181.84</v>
      </c>
      <c r="D19" s="4">
        <v>79.8</v>
      </c>
      <c r="E19" s="4">
        <f t="shared" si="1"/>
        <v>14.363999999999999</v>
      </c>
      <c r="F19" s="4">
        <f t="shared" si="0"/>
        <v>6261.64</v>
      </c>
      <c r="G19" s="4">
        <f t="shared" si="2"/>
        <v>6276.0039999999999</v>
      </c>
      <c r="H19" s="4">
        <f t="shared" si="6"/>
        <v>4970.7299999999814</v>
      </c>
      <c r="I19" s="2">
        <f t="shared" si="9"/>
        <v>149.12189999999944</v>
      </c>
      <c r="J19" s="2">
        <f t="shared" si="7"/>
        <v>26.8419419999999</v>
      </c>
      <c r="K19" s="3">
        <f t="shared" si="8"/>
        <v>5146.6938419999806</v>
      </c>
      <c r="M19" s="124">
        <v>21520.240000000002</v>
      </c>
    </row>
    <row r="20" spans="1:26" x14ac:dyDescent="0.2">
      <c r="C20" s="3"/>
      <c r="D20" s="3"/>
      <c r="E20" s="3"/>
      <c r="F20" s="3"/>
      <c r="G20" s="3"/>
      <c r="H20" s="3"/>
      <c r="K20" s="3"/>
    </row>
    <row r="21" spans="1:26" x14ac:dyDescent="0.2">
      <c r="C21" s="3"/>
      <c r="D21" s="3"/>
      <c r="E21" s="3"/>
      <c r="F21" s="4">
        <f>SUM(F2:F19)</f>
        <v>112708.15999999997</v>
      </c>
      <c r="G21" s="4">
        <f>SUM(G2:G19)</f>
        <v>114763.27939999998</v>
      </c>
      <c r="H21" s="3"/>
      <c r="K21" s="3"/>
    </row>
    <row r="22" spans="1:26" x14ac:dyDescent="0.2">
      <c r="C22" s="3"/>
      <c r="D22" s="3"/>
      <c r="E22" s="3"/>
      <c r="F22" s="5" t="s">
        <v>297</v>
      </c>
      <c r="G22" s="4">
        <f>G21-F21</f>
        <v>2055.1194000000105</v>
      </c>
      <c r="H22" s="3"/>
      <c r="K22" s="3"/>
    </row>
    <row r="23" spans="1:26" x14ac:dyDescent="0.2">
      <c r="C23" s="3"/>
      <c r="D23" s="3"/>
      <c r="E23" s="3"/>
      <c r="F23" s="3"/>
      <c r="G23" s="3"/>
      <c r="H23" s="3"/>
      <c r="K23" s="3"/>
    </row>
    <row r="24" spans="1:26" x14ac:dyDescent="0.2">
      <c r="C24" s="3"/>
      <c r="D24" s="3"/>
      <c r="E24" s="3"/>
      <c r="F24" s="3"/>
      <c r="G24" s="3"/>
      <c r="H24" s="3"/>
      <c r="K24" s="3"/>
    </row>
    <row r="25" spans="1:26" x14ac:dyDescent="0.2">
      <c r="C25" s="3"/>
      <c r="D25" s="3"/>
      <c r="E25" s="3"/>
      <c r="F25" s="3"/>
      <c r="G25" s="3"/>
      <c r="H25" s="3"/>
      <c r="K25" s="3"/>
    </row>
    <row r="26" spans="1:26" x14ac:dyDescent="0.2">
      <c r="C26" s="3"/>
      <c r="D26" s="3"/>
      <c r="E26" s="3"/>
      <c r="F26" s="3"/>
      <c r="G26" s="3"/>
      <c r="H26" s="3"/>
      <c r="K26" s="3"/>
      <c r="U26" s="381">
        <v>1</v>
      </c>
      <c r="V26" s="381" t="s">
        <v>1162</v>
      </c>
      <c r="W26" s="382">
        <v>44083</v>
      </c>
      <c r="X26" s="381">
        <v>4970.7299999999996</v>
      </c>
      <c r="Y26" s="381">
        <v>1290.83</v>
      </c>
      <c r="Z26" s="381">
        <v>6261.56</v>
      </c>
    </row>
    <row r="27" spans="1:26" x14ac:dyDescent="0.2">
      <c r="C27" s="3"/>
      <c r="D27" s="3"/>
      <c r="E27" s="3"/>
      <c r="F27" s="3"/>
      <c r="G27" s="3"/>
      <c r="H27" s="3"/>
      <c r="K27" s="3"/>
      <c r="U27" s="381">
        <v>2</v>
      </c>
      <c r="V27" s="381" t="s">
        <v>1162</v>
      </c>
      <c r="W27" s="382">
        <v>44084</v>
      </c>
      <c r="X27" s="381">
        <v>5034.8900000000003</v>
      </c>
      <c r="Y27" s="381">
        <v>1226.67</v>
      </c>
      <c r="Z27" s="381">
        <v>6261.56</v>
      </c>
    </row>
    <row r="28" spans="1:26" x14ac:dyDescent="0.2">
      <c r="C28" s="3"/>
      <c r="D28" s="3"/>
      <c r="E28" s="3"/>
      <c r="F28" s="3"/>
      <c r="G28" s="3"/>
      <c r="H28" s="3"/>
      <c r="K28" s="3"/>
      <c r="U28" s="381">
        <v>3</v>
      </c>
      <c r="V28" s="381" t="s">
        <v>1163</v>
      </c>
      <c r="W28" s="382">
        <v>44085</v>
      </c>
      <c r="X28" s="381">
        <v>5099.88</v>
      </c>
      <c r="Y28" s="381">
        <v>1161.68</v>
      </c>
      <c r="Z28" s="381">
        <v>6261.56</v>
      </c>
    </row>
    <row r="29" spans="1:26" x14ac:dyDescent="0.2">
      <c r="C29" s="3"/>
      <c r="D29" s="3"/>
      <c r="E29" s="3"/>
      <c r="F29" s="3"/>
      <c r="G29" s="3"/>
      <c r="H29" s="3"/>
      <c r="K29" s="3"/>
      <c r="U29" s="381">
        <v>4</v>
      </c>
      <c r="V29" s="381" t="s">
        <v>1163</v>
      </c>
      <c r="W29" s="382">
        <v>44086</v>
      </c>
      <c r="X29" s="381">
        <v>5165.71</v>
      </c>
      <c r="Y29" s="381">
        <v>1095.8499999999999</v>
      </c>
      <c r="Z29" s="381">
        <v>6261.56</v>
      </c>
    </row>
    <row r="30" spans="1:26" x14ac:dyDescent="0.2">
      <c r="C30" s="3"/>
      <c r="D30" s="3"/>
      <c r="E30" s="3"/>
      <c r="F30" s="3"/>
      <c r="G30" s="3"/>
      <c r="H30" s="3"/>
      <c r="K30" s="3"/>
      <c r="U30" s="381">
        <v>5</v>
      </c>
      <c r="V30" s="381" t="s">
        <v>1163</v>
      </c>
      <c r="W30" s="382">
        <v>44440</v>
      </c>
      <c r="X30" s="381">
        <v>5232.3900000000003</v>
      </c>
      <c r="Y30" s="381">
        <v>1029.17</v>
      </c>
      <c r="Z30" s="381">
        <v>6261.56</v>
      </c>
    </row>
    <row r="31" spans="1:26" x14ac:dyDescent="0.2">
      <c r="C31" s="3"/>
      <c r="D31" s="3"/>
      <c r="E31" s="3"/>
      <c r="F31" s="3"/>
      <c r="G31" s="3"/>
      <c r="H31" s="3"/>
      <c r="K31" s="3"/>
      <c r="U31" s="381">
        <v>6</v>
      </c>
      <c r="V31" s="381" t="s">
        <v>1163</v>
      </c>
      <c r="W31" s="382">
        <v>44441</v>
      </c>
      <c r="X31" s="381">
        <v>5299.94</v>
      </c>
      <c r="Y31" s="381">
        <v>961.62</v>
      </c>
      <c r="Z31" s="381">
        <v>6261.56</v>
      </c>
    </row>
    <row r="32" spans="1:26" x14ac:dyDescent="0.2">
      <c r="C32" s="3"/>
      <c r="D32" s="3"/>
      <c r="E32" s="3"/>
      <c r="F32" s="3"/>
      <c r="G32" s="3"/>
      <c r="H32" s="3"/>
      <c r="K32" s="3"/>
      <c r="U32" s="381">
        <v>7</v>
      </c>
      <c r="V32" s="381" t="s">
        <v>1163</v>
      </c>
      <c r="W32" s="382">
        <v>44442</v>
      </c>
      <c r="X32" s="381">
        <v>5368.35</v>
      </c>
      <c r="Y32" s="381">
        <v>893.21</v>
      </c>
      <c r="Z32" s="381">
        <v>6261.56</v>
      </c>
    </row>
    <row r="33" spans="3:26" x14ac:dyDescent="0.2">
      <c r="C33" s="3"/>
      <c r="D33" s="3"/>
      <c r="E33" s="3"/>
      <c r="F33" s="3"/>
      <c r="G33" s="3"/>
      <c r="H33" s="3"/>
      <c r="K33" s="3"/>
      <c r="U33" s="381">
        <v>8</v>
      </c>
      <c r="V33" s="381" t="s">
        <v>1163</v>
      </c>
      <c r="W33" s="382">
        <v>44443</v>
      </c>
      <c r="X33" s="381">
        <v>5437.65</v>
      </c>
      <c r="Y33" s="381">
        <v>823.91</v>
      </c>
      <c r="Z33" s="381">
        <v>6261.56</v>
      </c>
    </row>
    <row r="34" spans="3:26" x14ac:dyDescent="0.2">
      <c r="C34" s="3"/>
      <c r="D34" s="3"/>
      <c r="E34" s="3"/>
      <c r="F34" s="3"/>
      <c r="G34" s="3"/>
      <c r="H34" s="3"/>
      <c r="K34" s="3"/>
      <c r="U34" s="381">
        <v>9</v>
      </c>
      <c r="V34" s="381" t="s">
        <v>1163</v>
      </c>
      <c r="W34" s="382">
        <v>44444</v>
      </c>
      <c r="X34" s="381">
        <v>5507.84</v>
      </c>
      <c r="Y34" s="381">
        <v>753.72</v>
      </c>
      <c r="Z34" s="381">
        <v>6261.56</v>
      </c>
    </row>
    <row r="35" spans="3:26" x14ac:dyDescent="0.2">
      <c r="C35" s="3"/>
      <c r="D35" s="3"/>
      <c r="E35" s="3"/>
      <c r="F35" s="3"/>
      <c r="G35" s="3"/>
      <c r="H35" s="3"/>
      <c r="K35" s="3"/>
      <c r="U35" s="381">
        <v>10</v>
      </c>
      <c r="V35" s="381" t="s">
        <v>1163</v>
      </c>
      <c r="W35" s="382">
        <v>44445</v>
      </c>
      <c r="X35" s="381">
        <v>5578.93</v>
      </c>
      <c r="Y35" s="381">
        <v>682.63</v>
      </c>
      <c r="Z35" s="381">
        <v>6261.56</v>
      </c>
    </row>
    <row r="36" spans="3:26" x14ac:dyDescent="0.2">
      <c r="C36" s="3"/>
      <c r="D36" s="3"/>
      <c r="E36" s="3"/>
      <c r="F36" s="3"/>
      <c r="G36" s="3"/>
      <c r="H36" s="3"/>
      <c r="K36" s="3"/>
      <c r="U36" s="381">
        <v>11</v>
      </c>
      <c r="V36" s="381" t="s">
        <v>1163</v>
      </c>
      <c r="W36" s="382">
        <v>44446</v>
      </c>
      <c r="X36" s="381">
        <v>5650.95</v>
      </c>
      <c r="Y36" s="381">
        <v>610.61</v>
      </c>
      <c r="Z36" s="381">
        <v>6261.56</v>
      </c>
    </row>
    <row r="37" spans="3:26" x14ac:dyDescent="0.2">
      <c r="C37" s="3"/>
      <c r="D37" s="3"/>
      <c r="E37" s="3"/>
      <c r="F37" s="3"/>
      <c r="G37" s="3"/>
      <c r="H37" s="3"/>
      <c r="K37" s="3"/>
      <c r="U37" s="381">
        <v>12</v>
      </c>
      <c r="V37" s="381" t="s">
        <v>1163</v>
      </c>
      <c r="W37" s="382">
        <v>44447</v>
      </c>
      <c r="X37" s="381">
        <v>5723.89</v>
      </c>
      <c r="Y37" s="381">
        <v>537.66999999999996</v>
      </c>
      <c r="Z37" s="381">
        <v>6261.56</v>
      </c>
    </row>
    <row r="38" spans="3:26" x14ac:dyDescent="0.2">
      <c r="C38" s="3"/>
      <c r="D38" s="3"/>
      <c r="E38" s="3"/>
      <c r="F38" s="3"/>
      <c r="G38" s="3"/>
      <c r="H38" s="3"/>
      <c r="K38" s="3"/>
      <c r="U38" s="381">
        <v>13</v>
      </c>
      <c r="V38" s="381" t="s">
        <v>1163</v>
      </c>
      <c r="W38" s="382">
        <v>44448</v>
      </c>
      <c r="X38" s="381">
        <v>5797.78</v>
      </c>
      <c r="Y38" s="381">
        <v>463.78</v>
      </c>
      <c r="Z38" s="381">
        <v>6261.56</v>
      </c>
    </row>
    <row r="39" spans="3:26" x14ac:dyDescent="0.2">
      <c r="U39" s="381">
        <v>14</v>
      </c>
      <c r="V39" s="381" t="s">
        <v>1163</v>
      </c>
      <c r="W39" s="382">
        <v>44449</v>
      </c>
      <c r="X39" s="381">
        <v>5872.62</v>
      </c>
      <c r="Y39" s="381">
        <v>388.94</v>
      </c>
      <c r="Z39" s="381">
        <v>6261.56</v>
      </c>
    </row>
    <row r="40" spans="3:26" x14ac:dyDescent="0.2">
      <c r="U40" s="381">
        <v>15</v>
      </c>
      <c r="V40" s="381" t="s">
        <v>1163</v>
      </c>
      <c r="W40" s="382">
        <v>44450</v>
      </c>
      <c r="X40" s="381">
        <v>5948.42</v>
      </c>
      <c r="Y40" s="381">
        <v>313.14</v>
      </c>
      <c r="Z40" s="381">
        <v>6261.56</v>
      </c>
    </row>
    <row r="41" spans="3:26" x14ac:dyDescent="0.2">
      <c r="U41" s="381">
        <v>16</v>
      </c>
      <c r="V41" s="381" t="s">
        <v>1163</v>
      </c>
      <c r="W41" s="382">
        <v>44451</v>
      </c>
      <c r="X41" s="381">
        <v>6025.21</v>
      </c>
      <c r="Y41" s="381">
        <v>236.35</v>
      </c>
      <c r="Z41" s="381">
        <v>6261.56</v>
      </c>
    </row>
    <row r="42" spans="3:26" x14ac:dyDescent="0.2">
      <c r="U42" s="381">
        <v>17</v>
      </c>
      <c r="V42" s="381" t="s">
        <v>1163</v>
      </c>
      <c r="W42" s="382">
        <v>44805</v>
      </c>
      <c r="X42" s="381">
        <v>6102.98</v>
      </c>
      <c r="Y42" s="381">
        <v>158.58000000000001</v>
      </c>
      <c r="Z42" s="381">
        <v>6261.56</v>
      </c>
    </row>
    <row r="43" spans="3:26" x14ac:dyDescent="0.2">
      <c r="U43" s="381">
        <v>18</v>
      </c>
      <c r="V43" s="381" t="s">
        <v>1163</v>
      </c>
      <c r="W43" s="382">
        <v>44806</v>
      </c>
      <c r="X43" s="381">
        <v>6181.84</v>
      </c>
      <c r="Y43" s="381">
        <v>79.8</v>
      </c>
      <c r="Z43" s="381">
        <v>6261.64</v>
      </c>
    </row>
  </sheetData>
  <mergeCells count="8">
    <mergeCell ref="L8:M8"/>
    <mergeCell ref="L9:M9"/>
    <mergeCell ref="L2:M2"/>
    <mergeCell ref="L3:M3"/>
    <mergeCell ref="L4:M4"/>
    <mergeCell ref="L5:M5"/>
    <mergeCell ref="L6:M6"/>
    <mergeCell ref="L7:M7"/>
  </mergeCells>
  <phoneticPr fontId="56" type="noConversion"/>
  <conditionalFormatting sqref="K3:K38">
    <cfRule type="cellIs" dxfId="2" priority="1" operator="greaterThan">
      <formula>"G6"</formula>
    </cfRule>
  </conditionalFormatting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66C2F-E373-4560-AB01-B7F5F5F9584B}">
  <dimension ref="A1:S41"/>
  <sheetViews>
    <sheetView zoomScale="80" zoomScaleNormal="80" workbookViewId="0">
      <selection activeCell="O53" sqref="O53"/>
    </sheetView>
  </sheetViews>
  <sheetFormatPr defaultRowHeight="15" x14ac:dyDescent="0.25"/>
  <cols>
    <col min="1" max="1" width="7" bestFit="1" customWidth="1"/>
    <col min="2" max="2" width="9.28515625" bestFit="1" customWidth="1"/>
    <col min="3" max="3" width="8.140625" bestFit="1" customWidth="1"/>
    <col min="4" max="4" width="8.140625" customWidth="1"/>
    <col min="5" max="6" width="10.28515625" bestFit="1" customWidth="1"/>
    <col min="7" max="7" width="12.140625" bestFit="1" customWidth="1"/>
    <col min="8" max="10" width="21.140625" customWidth="1"/>
    <col min="11" max="11" width="11.28515625" customWidth="1"/>
    <col min="12" max="12" width="12" customWidth="1"/>
    <col min="13" max="13" width="10.28515625" customWidth="1"/>
    <col min="18" max="18" width="29.7109375" customWidth="1"/>
    <col min="19" max="19" width="31" customWidth="1"/>
  </cols>
  <sheetData>
    <row r="1" spans="1:19" x14ac:dyDescent="0.25">
      <c r="A1" s="38" t="s">
        <v>208</v>
      </c>
      <c r="B1" s="38" t="s">
        <v>1153</v>
      </c>
      <c r="C1" s="38" t="s">
        <v>17</v>
      </c>
      <c r="D1" s="38" t="s">
        <v>254</v>
      </c>
      <c r="E1" s="38" t="s">
        <v>172</v>
      </c>
      <c r="F1" s="38" t="s">
        <v>18</v>
      </c>
      <c r="G1" s="38" t="s">
        <v>499</v>
      </c>
      <c r="H1" s="245" t="s">
        <v>1154</v>
      </c>
      <c r="I1" s="245" t="s">
        <v>254</v>
      </c>
      <c r="J1" s="245" t="s">
        <v>18</v>
      </c>
    </row>
    <row r="2" spans="1:19" x14ac:dyDescent="0.25">
      <c r="A2" s="83" t="s">
        <v>561</v>
      </c>
      <c r="B2" s="35">
        <v>3150</v>
      </c>
      <c r="C2" s="35">
        <v>5198</v>
      </c>
      <c r="D2" s="35">
        <v>1502.64</v>
      </c>
      <c r="E2" s="35">
        <f>SUM(B2:D2)</f>
        <v>9850.64</v>
      </c>
      <c r="F2" s="35">
        <f>E2</f>
        <v>9850.64</v>
      </c>
      <c r="G2" s="35"/>
      <c r="K2" s="709" t="s">
        <v>1155</v>
      </c>
      <c r="L2" s="709"/>
      <c r="M2" s="15">
        <v>630000</v>
      </c>
    </row>
    <row r="3" spans="1:19" x14ac:dyDescent="0.25">
      <c r="A3" s="83" t="s">
        <v>562</v>
      </c>
      <c r="B3" s="35">
        <v>14850</v>
      </c>
      <c r="C3" s="35">
        <v>5775</v>
      </c>
      <c r="D3" s="35">
        <f t="shared" ref="D3:D38" si="0">C3*18/100</f>
        <v>1039.5</v>
      </c>
      <c r="E3" s="35">
        <f t="shared" ref="E3:E38" si="1">B3+C3</f>
        <v>20625</v>
      </c>
      <c r="F3" s="35">
        <f t="shared" ref="F3:F38" si="2">E3+D3</f>
        <v>21664.5</v>
      </c>
      <c r="G3" s="35">
        <f>M2-B3</f>
        <v>615150</v>
      </c>
      <c r="H3" s="119"/>
      <c r="I3" s="119"/>
      <c r="J3" s="119"/>
      <c r="K3" s="709" t="s">
        <v>1156</v>
      </c>
      <c r="L3" s="709"/>
      <c r="M3" s="15">
        <v>3150</v>
      </c>
      <c r="S3">
        <f>93000*10</f>
        <v>930000</v>
      </c>
    </row>
    <row r="4" spans="1:19" x14ac:dyDescent="0.25">
      <c r="A4" s="83" t="s">
        <v>563</v>
      </c>
      <c r="B4" s="35">
        <v>14987</v>
      </c>
      <c r="C4" s="35">
        <v>5639</v>
      </c>
      <c r="D4" s="35">
        <f t="shared" si="0"/>
        <v>1015.02</v>
      </c>
      <c r="E4" s="35">
        <f t="shared" si="1"/>
        <v>20626</v>
      </c>
      <c r="F4" s="35">
        <f t="shared" si="2"/>
        <v>21641.02</v>
      </c>
      <c r="G4" s="35">
        <f t="shared" ref="G4:G38" si="3">G3-B4</f>
        <v>600163</v>
      </c>
      <c r="K4" s="709" t="s">
        <v>1157</v>
      </c>
      <c r="L4" s="709"/>
      <c r="M4" s="15">
        <f>M3*18/100</f>
        <v>567</v>
      </c>
    </row>
    <row r="5" spans="1:19" x14ac:dyDescent="0.25">
      <c r="A5" s="83" t="s">
        <v>564</v>
      </c>
      <c r="B5" s="35">
        <v>15124</v>
      </c>
      <c r="C5" s="35">
        <v>5501</v>
      </c>
      <c r="D5" s="35">
        <f t="shared" si="0"/>
        <v>990.18</v>
      </c>
      <c r="E5" s="35">
        <f t="shared" si="1"/>
        <v>20625</v>
      </c>
      <c r="F5" s="35">
        <f t="shared" si="2"/>
        <v>21615.18</v>
      </c>
      <c r="G5" s="35">
        <f t="shared" si="3"/>
        <v>585039</v>
      </c>
      <c r="K5" s="709" t="s">
        <v>1158</v>
      </c>
      <c r="L5" s="709"/>
      <c r="M5" s="15">
        <v>5198</v>
      </c>
    </row>
    <row r="6" spans="1:19" x14ac:dyDescent="0.25">
      <c r="A6" s="83" t="s">
        <v>565</v>
      </c>
      <c r="B6" s="35">
        <v>15263</v>
      </c>
      <c r="C6" s="35">
        <v>5363</v>
      </c>
      <c r="D6" s="35">
        <f t="shared" si="0"/>
        <v>965.34</v>
      </c>
      <c r="E6" s="35">
        <f t="shared" si="1"/>
        <v>20626</v>
      </c>
      <c r="F6" s="35">
        <f t="shared" si="2"/>
        <v>21591.34</v>
      </c>
      <c r="G6" s="35">
        <f t="shared" si="3"/>
        <v>569776</v>
      </c>
      <c r="H6">
        <f>G6*3/100</f>
        <v>17093.28</v>
      </c>
      <c r="I6">
        <f>H6*18/100</f>
        <v>3076.7903999999999</v>
      </c>
      <c r="J6" s="11">
        <f>H6+I6+G6</f>
        <v>589946.07039999997</v>
      </c>
      <c r="K6" s="709" t="s">
        <v>1159</v>
      </c>
      <c r="L6" s="709"/>
      <c r="M6" s="15">
        <f>M5*18/100</f>
        <v>935.64</v>
      </c>
      <c r="R6" t="s">
        <v>1006</v>
      </c>
      <c r="S6">
        <v>1093977</v>
      </c>
    </row>
    <row r="7" spans="1:19" x14ac:dyDescent="0.25">
      <c r="A7" s="83" t="s">
        <v>566</v>
      </c>
      <c r="B7" s="35">
        <v>15402</v>
      </c>
      <c r="C7" s="35">
        <v>5223</v>
      </c>
      <c r="D7" s="35">
        <f t="shared" si="0"/>
        <v>940.14</v>
      </c>
      <c r="E7" s="35">
        <f t="shared" si="1"/>
        <v>20625</v>
      </c>
      <c r="F7" s="35">
        <f t="shared" si="2"/>
        <v>21565.14</v>
      </c>
      <c r="G7" s="35">
        <f t="shared" si="3"/>
        <v>554374</v>
      </c>
      <c r="H7">
        <f t="shared" ref="H7:H38" si="4">G7*3/100</f>
        <v>16631.22</v>
      </c>
      <c r="I7">
        <f t="shared" ref="I7:I38" si="5">H7*18/100</f>
        <v>2993.6196</v>
      </c>
      <c r="J7" s="11">
        <f t="shared" ref="J7:J38" si="6">H7+I7+G7</f>
        <v>573998.83959999995</v>
      </c>
      <c r="K7" s="709" t="s">
        <v>1160</v>
      </c>
      <c r="L7" s="709"/>
      <c r="M7" s="15">
        <f>SUM(F3:F38)</f>
        <v>762766.52000000014</v>
      </c>
      <c r="R7" s="246">
        <v>9.5</v>
      </c>
      <c r="S7">
        <f>(S6*R7/100)</f>
        <v>103927.815</v>
      </c>
    </row>
    <row r="8" spans="1:19" x14ac:dyDescent="0.25">
      <c r="A8" s="83" t="s">
        <v>567</v>
      </c>
      <c r="B8" s="35">
        <v>15544</v>
      </c>
      <c r="C8" s="35">
        <v>5082</v>
      </c>
      <c r="D8" s="35">
        <f t="shared" si="0"/>
        <v>914.76</v>
      </c>
      <c r="E8" s="35">
        <f t="shared" si="1"/>
        <v>20626</v>
      </c>
      <c r="F8" s="35">
        <f t="shared" si="2"/>
        <v>21540.76</v>
      </c>
      <c r="G8" s="15">
        <f t="shared" si="3"/>
        <v>538830</v>
      </c>
      <c r="H8">
        <f t="shared" si="4"/>
        <v>16164.9</v>
      </c>
      <c r="I8">
        <f t="shared" si="5"/>
        <v>2909.6820000000002</v>
      </c>
      <c r="J8" s="11">
        <f t="shared" si="6"/>
        <v>557904.58200000005</v>
      </c>
      <c r="K8" s="709" t="s">
        <v>297</v>
      </c>
      <c r="L8" s="709"/>
      <c r="M8" s="15">
        <f>M7+SUM(M3:M6)-M2</f>
        <v>142617.16000000015</v>
      </c>
      <c r="S8">
        <f>S6+S7</f>
        <v>1197904.8149999999</v>
      </c>
    </row>
    <row r="9" spans="1:19" x14ac:dyDescent="0.25">
      <c r="A9" s="1" t="s">
        <v>568</v>
      </c>
      <c r="B9" s="15">
        <v>15686</v>
      </c>
      <c r="C9" s="15">
        <v>4939</v>
      </c>
      <c r="D9" s="15">
        <f t="shared" si="0"/>
        <v>889.02</v>
      </c>
      <c r="E9" s="15">
        <f t="shared" si="1"/>
        <v>20625</v>
      </c>
      <c r="F9" s="15">
        <f t="shared" si="2"/>
        <v>21514.02</v>
      </c>
      <c r="G9" s="15">
        <f t="shared" si="3"/>
        <v>523144</v>
      </c>
      <c r="H9">
        <f t="shared" si="4"/>
        <v>15694.32</v>
      </c>
      <c r="I9">
        <f t="shared" si="5"/>
        <v>2824.9776000000002</v>
      </c>
      <c r="J9" s="11">
        <f t="shared" si="6"/>
        <v>541663.29760000005</v>
      </c>
      <c r="K9" s="709" t="s">
        <v>1161</v>
      </c>
      <c r="L9" s="709"/>
      <c r="M9" s="15">
        <f>M8/36</f>
        <v>3961.5877777777819</v>
      </c>
      <c r="S9">
        <f>S8*9</f>
        <v>10781143.334999999</v>
      </c>
    </row>
    <row r="10" spans="1:19" x14ac:dyDescent="0.25">
      <c r="A10" s="1" t="s">
        <v>569</v>
      </c>
      <c r="B10" s="15">
        <v>15830</v>
      </c>
      <c r="C10" s="15">
        <v>4795</v>
      </c>
      <c r="D10" s="15">
        <f t="shared" si="0"/>
        <v>863.1</v>
      </c>
      <c r="E10" s="15">
        <f t="shared" si="1"/>
        <v>20625</v>
      </c>
      <c r="F10" s="15">
        <f t="shared" si="2"/>
        <v>21488.1</v>
      </c>
      <c r="G10" s="15">
        <f t="shared" si="3"/>
        <v>507314</v>
      </c>
      <c r="H10">
        <f t="shared" si="4"/>
        <v>15219.42</v>
      </c>
      <c r="I10">
        <f t="shared" si="5"/>
        <v>2739.4956000000002</v>
      </c>
      <c r="J10" s="11">
        <f t="shared" si="6"/>
        <v>525272.91559999995</v>
      </c>
    </row>
    <row r="11" spans="1:19" x14ac:dyDescent="0.25">
      <c r="A11" s="1" t="s">
        <v>570</v>
      </c>
      <c r="B11" s="15">
        <v>15975</v>
      </c>
      <c r="C11" s="15">
        <v>4650</v>
      </c>
      <c r="D11" s="15">
        <f t="shared" si="0"/>
        <v>837</v>
      </c>
      <c r="E11" s="15">
        <f t="shared" si="1"/>
        <v>20625</v>
      </c>
      <c r="F11" s="15">
        <f t="shared" si="2"/>
        <v>21462</v>
      </c>
      <c r="G11" s="15">
        <f t="shared" si="3"/>
        <v>491339</v>
      </c>
      <c r="H11">
        <f t="shared" si="4"/>
        <v>14740.17</v>
      </c>
      <c r="I11">
        <f t="shared" si="5"/>
        <v>2653.2305999999999</v>
      </c>
      <c r="J11" s="11">
        <f t="shared" si="6"/>
        <v>508732.40059999999</v>
      </c>
    </row>
    <row r="12" spans="1:19" x14ac:dyDescent="0.25">
      <c r="A12" s="1" t="s">
        <v>571</v>
      </c>
      <c r="B12" s="15">
        <v>16121</v>
      </c>
      <c r="C12" s="15">
        <v>4504</v>
      </c>
      <c r="D12" s="15">
        <f t="shared" si="0"/>
        <v>810.72</v>
      </c>
      <c r="E12" s="15">
        <f t="shared" si="1"/>
        <v>20625</v>
      </c>
      <c r="F12" s="15">
        <f t="shared" si="2"/>
        <v>21435.72</v>
      </c>
      <c r="G12" s="15">
        <f t="shared" si="3"/>
        <v>475218</v>
      </c>
      <c r="H12">
        <f t="shared" si="4"/>
        <v>14256.54</v>
      </c>
      <c r="I12">
        <f t="shared" si="5"/>
        <v>2566.1772000000001</v>
      </c>
      <c r="J12" s="11">
        <f t="shared" si="6"/>
        <v>492040.71720000001</v>
      </c>
    </row>
    <row r="13" spans="1:19" x14ac:dyDescent="0.25">
      <c r="A13" s="1" t="s">
        <v>560</v>
      </c>
      <c r="B13" s="15">
        <v>16269</v>
      </c>
      <c r="C13" s="15">
        <v>4356</v>
      </c>
      <c r="D13" s="15">
        <f t="shared" si="0"/>
        <v>784.08</v>
      </c>
      <c r="E13" s="15">
        <f t="shared" si="1"/>
        <v>20625</v>
      </c>
      <c r="F13" s="15">
        <f t="shared" si="2"/>
        <v>21409.08</v>
      </c>
      <c r="G13" s="15">
        <f t="shared" si="3"/>
        <v>458949</v>
      </c>
      <c r="H13">
        <f t="shared" si="4"/>
        <v>13768.47</v>
      </c>
      <c r="I13">
        <f t="shared" si="5"/>
        <v>2478.3245999999999</v>
      </c>
      <c r="J13" s="11">
        <f t="shared" si="6"/>
        <v>475195.79460000002</v>
      </c>
    </row>
    <row r="14" spans="1:19" x14ac:dyDescent="0.25">
      <c r="A14" s="1" t="s">
        <v>561</v>
      </c>
      <c r="B14" s="15">
        <v>16418</v>
      </c>
      <c r="C14" s="15">
        <v>4207</v>
      </c>
      <c r="D14" s="15">
        <f t="shared" si="0"/>
        <v>757.26</v>
      </c>
      <c r="E14" s="15">
        <f t="shared" si="1"/>
        <v>20625</v>
      </c>
      <c r="F14" s="15">
        <f t="shared" si="2"/>
        <v>21382.26</v>
      </c>
      <c r="G14" s="15">
        <f t="shared" si="3"/>
        <v>442531</v>
      </c>
      <c r="H14">
        <f t="shared" si="4"/>
        <v>13275.93</v>
      </c>
      <c r="I14">
        <f t="shared" si="5"/>
        <v>2389.6673999999998</v>
      </c>
      <c r="J14" s="11">
        <f t="shared" si="6"/>
        <v>458196.59740000003</v>
      </c>
      <c r="O14">
        <v>3150</v>
      </c>
      <c r="P14">
        <f>O14*18/100</f>
        <v>567</v>
      </c>
    </row>
    <row r="15" spans="1:19" x14ac:dyDescent="0.25">
      <c r="A15" s="1" t="s">
        <v>562</v>
      </c>
      <c r="B15" s="15">
        <v>16569</v>
      </c>
      <c r="C15" s="15">
        <v>4057</v>
      </c>
      <c r="D15" s="15">
        <f t="shared" si="0"/>
        <v>730.26</v>
      </c>
      <c r="E15" s="15">
        <f t="shared" si="1"/>
        <v>20626</v>
      </c>
      <c r="F15" s="15">
        <f t="shared" si="2"/>
        <v>21356.26</v>
      </c>
      <c r="G15" s="15">
        <f t="shared" si="3"/>
        <v>425962</v>
      </c>
      <c r="H15">
        <f t="shared" si="4"/>
        <v>12778.86</v>
      </c>
      <c r="I15">
        <f t="shared" si="5"/>
        <v>2300.1948000000002</v>
      </c>
      <c r="J15" s="11">
        <f t="shared" si="6"/>
        <v>441041.05479999998</v>
      </c>
      <c r="O15">
        <v>5198</v>
      </c>
      <c r="P15">
        <f>O15*18/100</f>
        <v>935.64</v>
      </c>
    </row>
    <row r="16" spans="1:19" x14ac:dyDescent="0.25">
      <c r="A16" s="1" t="s">
        <v>563</v>
      </c>
      <c r="B16" s="15">
        <v>16721</v>
      </c>
      <c r="C16" s="15">
        <v>3905</v>
      </c>
      <c r="D16" s="15">
        <f t="shared" si="0"/>
        <v>702.9</v>
      </c>
      <c r="E16" s="15">
        <f t="shared" si="1"/>
        <v>20626</v>
      </c>
      <c r="F16" s="15">
        <f t="shared" si="2"/>
        <v>21328.9</v>
      </c>
      <c r="G16" s="15">
        <f t="shared" si="3"/>
        <v>409241</v>
      </c>
      <c r="H16">
        <f t="shared" si="4"/>
        <v>12277.23</v>
      </c>
      <c r="I16">
        <f t="shared" si="5"/>
        <v>2209.9013999999997</v>
      </c>
      <c r="J16" s="11">
        <f t="shared" si="6"/>
        <v>423728.13140000001</v>
      </c>
    </row>
    <row r="17" spans="1:12" x14ac:dyDescent="0.25">
      <c r="A17" s="1" t="s">
        <v>564</v>
      </c>
      <c r="B17" s="15">
        <v>16874</v>
      </c>
      <c r="C17" s="15">
        <v>3751</v>
      </c>
      <c r="D17" s="15">
        <f t="shared" si="0"/>
        <v>675.18</v>
      </c>
      <c r="E17" s="15">
        <f t="shared" si="1"/>
        <v>20625</v>
      </c>
      <c r="F17" s="15">
        <f t="shared" si="2"/>
        <v>21300.18</v>
      </c>
      <c r="G17" s="15">
        <f t="shared" si="3"/>
        <v>392367</v>
      </c>
      <c r="H17">
        <f t="shared" si="4"/>
        <v>11771.01</v>
      </c>
      <c r="I17">
        <f t="shared" si="5"/>
        <v>2118.7817999999997</v>
      </c>
      <c r="J17" s="11">
        <f t="shared" si="6"/>
        <v>406256.79180000001</v>
      </c>
    </row>
    <row r="18" spans="1:12" x14ac:dyDescent="0.25">
      <c r="A18" s="1" t="s">
        <v>565</v>
      </c>
      <c r="B18" s="15">
        <v>17029</v>
      </c>
      <c r="C18" s="15">
        <v>3597</v>
      </c>
      <c r="D18" s="15">
        <f t="shared" si="0"/>
        <v>647.46</v>
      </c>
      <c r="E18" s="15">
        <f t="shared" si="1"/>
        <v>20626</v>
      </c>
      <c r="F18" s="15">
        <f t="shared" si="2"/>
        <v>21273.46</v>
      </c>
      <c r="G18" s="15">
        <f t="shared" si="3"/>
        <v>375338</v>
      </c>
      <c r="H18">
        <f t="shared" si="4"/>
        <v>11260.14</v>
      </c>
      <c r="I18">
        <f t="shared" si="5"/>
        <v>2026.8252</v>
      </c>
      <c r="J18" s="11">
        <f t="shared" si="6"/>
        <v>388624.96519999998</v>
      </c>
    </row>
    <row r="19" spans="1:12" x14ac:dyDescent="0.25">
      <c r="A19" s="1" t="s">
        <v>566</v>
      </c>
      <c r="B19" s="15">
        <v>17185</v>
      </c>
      <c r="C19" s="15">
        <v>3441</v>
      </c>
      <c r="D19" s="15">
        <f t="shared" si="0"/>
        <v>619.38</v>
      </c>
      <c r="E19" s="15">
        <f t="shared" si="1"/>
        <v>20626</v>
      </c>
      <c r="F19" s="15">
        <f t="shared" si="2"/>
        <v>21245.38</v>
      </c>
      <c r="G19" s="15">
        <f t="shared" si="3"/>
        <v>358153</v>
      </c>
      <c r="H19">
        <f t="shared" si="4"/>
        <v>10744.59</v>
      </c>
      <c r="I19">
        <f t="shared" si="5"/>
        <v>1934.0262</v>
      </c>
      <c r="J19" s="11">
        <f t="shared" si="6"/>
        <v>370831.61619999999</v>
      </c>
      <c r="L19" s="119">
        <v>21520.240000000002</v>
      </c>
    </row>
    <row r="20" spans="1:12" x14ac:dyDescent="0.25">
      <c r="A20" s="1" t="s">
        <v>567</v>
      </c>
      <c r="B20" s="15">
        <v>17342</v>
      </c>
      <c r="C20" s="15">
        <v>3283</v>
      </c>
      <c r="D20" s="15">
        <f t="shared" si="0"/>
        <v>590.94000000000005</v>
      </c>
      <c r="E20" s="15">
        <f t="shared" si="1"/>
        <v>20625</v>
      </c>
      <c r="F20" s="15">
        <f t="shared" si="2"/>
        <v>21215.94</v>
      </c>
      <c r="G20" s="15">
        <f t="shared" si="3"/>
        <v>340811</v>
      </c>
      <c r="H20">
        <f t="shared" si="4"/>
        <v>10224.33</v>
      </c>
      <c r="I20">
        <f t="shared" si="5"/>
        <v>1840.3794</v>
      </c>
      <c r="J20" s="11">
        <f t="shared" si="6"/>
        <v>352875.70939999999</v>
      </c>
    </row>
    <row r="21" spans="1:12" x14ac:dyDescent="0.25">
      <c r="A21" s="1" t="s">
        <v>568</v>
      </c>
      <c r="B21" s="15">
        <v>17501</v>
      </c>
      <c r="C21" s="15">
        <v>3124</v>
      </c>
      <c r="D21" s="15">
        <f t="shared" si="0"/>
        <v>562.32000000000005</v>
      </c>
      <c r="E21" s="15">
        <f t="shared" si="1"/>
        <v>20625</v>
      </c>
      <c r="F21" s="15">
        <f t="shared" si="2"/>
        <v>21187.32</v>
      </c>
      <c r="G21" s="15">
        <f t="shared" si="3"/>
        <v>323310</v>
      </c>
      <c r="H21">
        <f t="shared" si="4"/>
        <v>9699.2999999999993</v>
      </c>
      <c r="I21">
        <f t="shared" si="5"/>
        <v>1745.874</v>
      </c>
      <c r="J21" s="11">
        <f t="shared" si="6"/>
        <v>334755.174</v>
      </c>
    </row>
    <row r="22" spans="1:12" x14ac:dyDescent="0.25">
      <c r="A22" s="1" t="s">
        <v>569</v>
      </c>
      <c r="B22" s="15">
        <v>17662</v>
      </c>
      <c r="C22" s="15">
        <v>2964</v>
      </c>
      <c r="D22" s="15">
        <f t="shared" si="0"/>
        <v>533.52</v>
      </c>
      <c r="E22" s="15">
        <f t="shared" si="1"/>
        <v>20626</v>
      </c>
      <c r="F22" s="15">
        <f t="shared" si="2"/>
        <v>21159.52</v>
      </c>
      <c r="G22" s="15">
        <f t="shared" si="3"/>
        <v>305648</v>
      </c>
      <c r="H22">
        <f t="shared" si="4"/>
        <v>9169.44</v>
      </c>
      <c r="I22">
        <f t="shared" si="5"/>
        <v>1650.4992000000002</v>
      </c>
      <c r="J22" s="11">
        <f t="shared" si="6"/>
        <v>316467.93920000002</v>
      </c>
    </row>
    <row r="23" spans="1:12" x14ac:dyDescent="0.25">
      <c r="A23" s="1" t="s">
        <v>570</v>
      </c>
      <c r="B23" s="15">
        <v>17824</v>
      </c>
      <c r="C23" s="15">
        <v>2802</v>
      </c>
      <c r="D23" s="15">
        <f t="shared" si="0"/>
        <v>504.36</v>
      </c>
      <c r="E23" s="15">
        <f t="shared" si="1"/>
        <v>20626</v>
      </c>
      <c r="F23" s="15">
        <f t="shared" si="2"/>
        <v>21130.36</v>
      </c>
      <c r="G23" s="15">
        <f t="shared" si="3"/>
        <v>287824</v>
      </c>
      <c r="H23">
        <f t="shared" si="4"/>
        <v>8634.7199999999993</v>
      </c>
      <c r="I23">
        <f t="shared" si="5"/>
        <v>1554.2495999999999</v>
      </c>
      <c r="J23" s="11">
        <f t="shared" si="6"/>
        <v>298012.96960000001</v>
      </c>
    </row>
    <row r="24" spans="1:12" x14ac:dyDescent="0.25">
      <c r="A24" s="1" t="s">
        <v>571</v>
      </c>
      <c r="B24" s="15">
        <v>17987</v>
      </c>
      <c r="C24" s="15">
        <v>2638</v>
      </c>
      <c r="D24" s="15">
        <f t="shared" si="0"/>
        <v>474.84</v>
      </c>
      <c r="E24" s="15">
        <f t="shared" si="1"/>
        <v>20625</v>
      </c>
      <c r="F24" s="15">
        <f t="shared" si="2"/>
        <v>21099.84</v>
      </c>
      <c r="G24" s="15">
        <f t="shared" si="3"/>
        <v>269837</v>
      </c>
      <c r="H24">
        <f t="shared" si="4"/>
        <v>8095.11</v>
      </c>
      <c r="I24">
        <f t="shared" si="5"/>
        <v>1457.1197999999997</v>
      </c>
      <c r="J24" s="11">
        <f t="shared" si="6"/>
        <v>279389.22979999997</v>
      </c>
    </row>
    <row r="25" spans="1:12" x14ac:dyDescent="0.25">
      <c r="A25" s="1" t="s">
        <v>560</v>
      </c>
      <c r="B25" s="15">
        <v>18152</v>
      </c>
      <c r="C25" s="15">
        <v>2474</v>
      </c>
      <c r="D25" s="15">
        <f t="shared" si="0"/>
        <v>445.32</v>
      </c>
      <c r="E25" s="15">
        <f t="shared" si="1"/>
        <v>20626</v>
      </c>
      <c r="F25" s="15">
        <f t="shared" si="2"/>
        <v>21071.32</v>
      </c>
      <c r="G25" s="15">
        <f t="shared" si="3"/>
        <v>251685</v>
      </c>
      <c r="H25">
        <f t="shared" si="4"/>
        <v>7550.55</v>
      </c>
      <c r="I25">
        <f t="shared" si="5"/>
        <v>1359.0989999999999</v>
      </c>
      <c r="J25" s="11">
        <f t="shared" si="6"/>
        <v>260594.649</v>
      </c>
    </row>
    <row r="26" spans="1:12" x14ac:dyDescent="0.25">
      <c r="A26" s="1" t="s">
        <v>561</v>
      </c>
      <c r="B26" s="15">
        <v>18318</v>
      </c>
      <c r="C26" s="15">
        <v>2307</v>
      </c>
      <c r="D26" s="15">
        <f t="shared" si="0"/>
        <v>415.26</v>
      </c>
      <c r="E26" s="15">
        <f t="shared" si="1"/>
        <v>20625</v>
      </c>
      <c r="F26" s="15">
        <f t="shared" si="2"/>
        <v>21040.26</v>
      </c>
      <c r="G26" s="15">
        <f t="shared" si="3"/>
        <v>233367</v>
      </c>
      <c r="H26">
        <f t="shared" si="4"/>
        <v>7001.01</v>
      </c>
      <c r="I26">
        <f t="shared" si="5"/>
        <v>1260.1818000000001</v>
      </c>
      <c r="J26" s="11">
        <f t="shared" si="6"/>
        <v>241628.1918</v>
      </c>
    </row>
    <row r="27" spans="1:12" x14ac:dyDescent="0.25">
      <c r="A27" s="1" t="s">
        <v>562</v>
      </c>
      <c r="B27" s="15">
        <v>18486</v>
      </c>
      <c r="C27" s="15">
        <v>2139</v>
      </c>
      <c r="D27" s="15">
        <f t="shared" si="0"/>
        <v>385.02</v>
      </c>
      <c r="E27" s="15">
        <f t="shared" si="1"/>
        <v>20625</v>
      </c>
      <c r="F27" s="15">
        <f t="shared" si="2"/>
        <v>21010.02</v>
      </c>
      <c r="G27" s="15">
        <f t="shared" si="3"/>
        <v>214881</v>
      </c>
      <c r="H27">
        <f t="shared" si="4"/>
        <v>6446.43</v>
      </c>
      <c r="I27">
        <f t="shared" si="5"/>
        <v>1160.3574000000001</v>
      </c>
      <c r="J27" s="11">
        <f t="shared" si="6"/>
        <v>222487.7874</v>
      </c>
    </row>
    <row r="28" spans="1:12" x14ac:dyDescent="0.25">
      <c r="A28" s="1" t="s">
        <v>563</v>
      </c>
      <c r="B28" s="15">
        <v>18656</v>
      </c>
      <c r="C28" s="15">
        <v>1970</v>
      </c>
      <c r="D28" s="15">
        <f t="shared" si="0"/>
        <v>354.6</v>
      </c>
      <c r="E28" s="15">
        <f t="shared" si="1"/>
        <v>20626</v>
      </c>
      <c r="F28" s="15">
        <f t="shared" si="2"/>
        <v>20980.6</v>
      </c>
      <c r="G28" s="15">
        <f t="shared" si="3"/>
        <v>196225</v>
      </c>
      <c r="H28">
        <f t="shared" si="4"/>
        <v>5886.75</v>
      </c>
      <c r="I28">
        <f t="shared" si="5"/>
        <v>1059.615</v>
      </c>
      <c r="J28" s="11">
        <f t="shared" si="6"/>
        <v>203171.36499999999</v>
      </c>
    </row>
    <row r="29" spans="1:12" x14ac:dyDescent="0.25">
      <c r="A29" s="1" t="s">
        <v>564</v>
      </c>
      <c r="B29" s="15">
        <v>18827</v>
      </c>
      <c r="C29" s="15">
        <v>1799</v>
      </c>
      <c r="D29" s="15">
        <f t="shared" si="0"/>
        <v>323.82</v>
      </c>
      <c r="E29" s="15">
        <f t="shared" si="1"/>
        <v>20626</v>
      </c>
      <c r="F29" s="15">
        <f t="shared" si="2"/>
        <v>20949.82</v>
      </c>
      <c r="G29" s="15">
        <f t="shared" si="3"/>
        <v>177398</v>
      </c>
      <c r="H29">
        <f t="shared" si="4"/>
        <v>5321.94</v>
      </c>
      <c r="I29">
        <f t="shared" si="5"/>
        <v>957.94920000000002</v>
      </c>
      <c r="J29" s="11">
        <f t="shared" si="6"/>
        <v>183677.88920000001</v>
      </c>
    </row>
    <row r="30" spans="1:12" x14ac:dyDescent="0.25">
      <c r="A30" s="1" t="s">
        <v>565</v>
      </c>
      <c r="B30" s="15">
        <v>18999</v>
      </c>
      <c r="C30" s="15">
        <v>1626</v>
      </c>
      <c r="D30" s="15">
        <f t="shared" si="0"/>
        <v>292.68</v>
      </c>
      <c r="E30" s="15">
        <f t="shared" si="1"/>
        <v>20625</v>
      </c>
      <c r="F30" s="15">
        <f t="shared" si="2"/>
        <v>20917.68</v>
      </c>
      <c r="G30" s="15">
        <f t="shared" si="3"/>
        <v>158399</v>
      </c>
      <c r="H30">
        <f t="shared" si="4"/>
        <v>4751.97</v>
      </c>
      <c r="I30">
        <f t="shared" si="5"/>
        <v>855.35460000000012</v>
      </c>
      <c r="J30" s="11">
        <f t="shared" si="6"/>
        <v>164006.32459999999</v>
      </c>
    </row>
    <row r="31" spans="1:12" x14ac:dyDescent="0.25">
      <c r="A31" s="1" t="s">
        <v>566</v>
      </c>
      <c r="B31" s="15">
        <v>19173</v>
      </c>
      <c r="C31" s="15">
        <v>1452</v>
      </c>
      <c r="D31" s="15">
        <f t="shared" si="0"/>
        <v>261.36</v>
      </c>
      <c r="E31" s="15">
        <f t="shared" si="1"/>
        <v>20625</v>
      </c>
      <c r="F31" s="15">
        <f t="shared" si="2"/>
        <v>20886.36</v>
      </c>
      <c r="G31" s="15">
        <f t="shared" si="3"/>
        <v>139226</v>
      </c>
      <c r="H31">
        <f t="shared" si="4"/>
        <v>4176.78</v>
      </c>
      <c r="I31">
        <f t="shared" si="5"/>
        <v>751.82039999999995</v>
      </c>
      <c r="J31" s="11">
        <f t="shared" si="6"/>
        <v>144154.6004</v>
      </c>
    </row>
    <row r="32" spans="1:12" x14ac:dyDescent="0.25">
      <c r="A32" s="1" t="s">
        <v>567</v>
      </c>
      <c r="B32" s="15">
        <v>19349</v>
      </c>
      <c r="C32" s="15">
        <v>1276</v>
      </c>
      <c r="D32" s="15">
        <f t="shared" si="0"/>
        <v>229.68</v>
      </c>
      <c r="E32" s="15">
        <f t="shared" si="1"/>
        <v>20625</v>
      </c>
      <c r="F32" s="15">
        <f t="shared" si="2"/>
        <v>20854.68</v>
      </c>
      <c r="G32" s="15">
        <f t="shared" si="3"/>
        <v>119877</v>
      </c>
      <c r="H32">
        <f t="shared" si="4"/>
        <v>3596.31</v>
      </c>
      <c r="I32">
        <f t="shared" si="5"/>
        <v>647.33580000000006</v>
      </c>
      <c r="J32" s="11">
        <f t="shared" si="6"/>
        <v>124120.6458</v>
      </c>
    </row>
    <row r="33" spans="1:10" x14ac:dyDescent="0.25">
      <c r="A33" s="1" t="s">
        <v>568</v>
      </c>
      <c r="B33" s="15">
        <v>19527</v>
      </c>
      <c r="C33" s="15">
        <v>1099</v>
      </c>
      <c r="D33" s="15">
        <f t="shared" si="0"/>
        <v>197.82</v>
      </c>
      <c r="E33" s="15">
        <f t="shared" si="1"/>
        <v>20626</v>
      </c>
      <c r="F33" s="15">
        <f t="shared" si="2"/>
        <v>20823.82</v>
      </c>
      <c r="G33" s="15">
        <f t="shared" si="3"/>
        <v>100350</v>
      </c>
      <c r="H33">
        <f t="shared" si="4"/>
        <v>3010.5</v>
      </c>
      <c r="I33">
        <f t="shared" si="5"/>
        <v>541.89</v>
      </c>
      <c r="J33" s="11">
        <f t="shared" si="6"/>
        <v>103902.39</v>
      </c>
    </row>
    <row r="34" spans="1:10" x14ac:dyDescent="0.25">
      <c r="A34" s="1" t="s">
        <v>569</v>
      </c>
      <c r="B34" s="15">
        <v>19706</v>
      </c>
      <c r="C34" s="15">
        <v>920</v>
      </c>
      <c r="D34" s="15">
        <f t="shared" si="0"/>
        <v>165.6</v>
      </c>
      <c r="E34" s="15">
        <f t="shared" si="1"/>
        <v>20626</v>
      </c>
      <c r="F34" s="15">
        <f t="shared" si="2"/>
        <v>20791.599999999999</v>
      </c>
      <c r="G34" s="15">
        <f t="shared" si="3"/>
        <v>80644</v>
      </c>
      <c r="H34">
        <f t="shared" si="4"/>
        <v>2419.3200000000002</v>
      </c>
      <c r="I34">
        <f t="shared" si="5"/>
        <v>435.4776</v>
      </c>
      <c r="J34" s="11">
        <f t="shared" si="6"/>
        <v>83498.797600000005</v>
      </c>
    </row>
    <row r="35" spans="1:10" x14ac:dyDescent="0.25">
      <c r="A35" s="1" t="s">
        <v>570</v>
      </c>
      <c r="B35" s="15">
        <v>19886</v>
      </c>
      <c r="C35" s="15">
        <v>739</v>
      </c>
      <c r="D35" s="15">
        <f t="shared" si="0"/>
        <v>133.02000000000001</v>
      </c>
      <c r="E35" s="15">
        <f t="shared" si="1"/>
        <v>20625</v>
      </c>
      <c r="F35" s="15">
        <f t="shared" si="2"/>
        <v>20758.02</v>
      </c>
      <c r="G35" s="15">
        <f t="shared" si="3"/>
        <v>60758</v>
      </c>
      <c r="H35">
        <f t="shared" si="4"/>
        <v>1822.74</v>
      </c>
      <c r="I35">
        <f t="shared" si="5"/>
        <v>328.09320000000002</v>
      </c>
      <c r="J35" s="11">
        <f t="shared" si="6"/>
        <v>62908.833200000001</v>
      </c>
    </row>
    <row r="36" spans="1:10" x14ac:dyDescent="0.25">
      <c r="A36" s="1" t="s">
        <v>571</v>
      </c>
      <c r="B36" s="15">
        <v>20068</v>
      </c>
      <c r="C36" s="15">
        <v>557</v>
      </c>
      <c r="D36" s="15">
        <f t="shared" si="0"/>
        <v>100.26</v>
      </c>
      <c r="E36" s="15">
        <f t="shared" si="1"/>
        <v>20625</v>
      </c>
      <c r="F36" s="15">
        <f t="shared" si="2"/>
        <v>20725.259999999998</v>
      </c>
      <c r="G36" s="15">
        <f t="shared" si="3"/>
        <v>40690</v>
      </c>
      <c r="H36">
        <f t="shared" si="4"/>
        <v>1220.7</v>
      </c>
      <c r="I36">
        <f t="shared" si="5"/>
        <v>219.72600000000003</v>
      </c>
      <c r="J36" s="11">
        <f t="shared" si="6"/>
        <v>42130.425999999999</v>
      </c>
    </row>
    <row r="37" spans="1:10" x14ac:dyDescent="0.25">
      <c r="A37" s="1" t="s">
        <v>560</v>
      </c>
      <c r="B37" s="15">
        <v>20252</v>
      </c>
      <c r="C37" s="15">
        <v>373</v>
      </c>
      <c r="D37" s="15">
        <f t="shared" si="0"/>
        <v>67.14</v>
      </c>
      <c r="E37" s="15">
        <f t="shared" si="1"/>
        <v>20625</v>
      </c>
      <c r="F37" s="15">
        <f t="shared" si="2"/>
        <v>20692.14</v>
      </c>
      <c r="G37" s="15">
        <f t="shared" si="3"/>
        <v>20438</v>
      </c>
      <c r="H37">
        <f t="shared" si="4"/>
        <v>613.14</v>
      </c>
      <c r="I37">
        <f t="shared" si="5"/>
        <v>110.3652</v>
      </c>
      <c r="J37" s="11">
        <f t="shared" si="6"/>
        <v>21161.5052</v>
      </c>
    </row>
    <row r="38" spans="1:10" x14ac:dyDescent="0.25">
      <c r="A38" s="1" t="s">
        <v>561</v>
      </c>
      <c r="B38" s="15">
        <v>20438</v>
      </c>
      <c r="C38" s="15">
        <v>187</v>
      </c>
      <c r="D38" s="15">
        <f t="shared" si="0"/>
        <v>33.659999999999997</v>
      </c>
      <c r="E38" s="15">
        <f t="shared" si="1"/>
        <v>20625</v>
      </c>
      <c r="F38" s="15">
        <f t="shared" si="2"/>
        <v>20658.66</v>
      </c>
      <c r="G38" s="15">
        <f t="shared" si="3"/>
        <v>0</v>
      </c>
      <c r="H38">
        <f t="shared" si="4"/>
        <v>0</v>
      </c>
      <c r="I38">
        <f t="shared" si="5"/>
        <v>0</v>
      </c>
      <c r="J38" s="11">
        <f t="shared" si="6"/>
        <v>0</v>
      </c>
    </row>
    <row r="40" spans="1:10" x14ac:dyDescent="0.25">
      <c r="E40" s="15">
        <f>SUM(E3:E39)</f>
        <v>742514</v>
      </c>
      <c r="F40" s="15">
        <f>SUM(F3:F39)</f>
        <v>762766.52000000014</v>
      </c>
    </row>
    <row r="41" spans="1:10" x14ac:dyDescent="0.25">
      <c r="E41" s="1" t="s">
        <v>297</v>
      </c>
      <c r="F41" s="15">
        <f>F40-E40</f>
        <v>20252.520000000135</v>
      </c>
    </row>
  </sheetData>
  <mergeCells count="8">
    <mergeCell ref="K8:L8"/>
    <mergeCell ref="K9:L9"/>
    <mergeCell ref="K2:L2"/>
    <mergeCell ref="K3:L3"/>
    <mergeCell ref="K4:L4"/>
    <mergeCell ref="K5:L5"/>
    <mergeCell ref="K6:L6"/>
    <mergeCell ref="K7:L7"/>
  </mergeCells>
  <conditionalFormatting sqref="J6:J38">
    <cfRule type="cellIs" dxfId="1" priority="1" operator="greaterThan">
      <formula>"G6"</formula>
    </cfRule>
  </conditionalFormatting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8"/>
  <dimension ref="A1:K5"/>
  <sheetViews>
    <sheetView workbookViewId="0">
      <selection activeCell="K6" sqref="K6"/>
    </sheetView>
  </sheetViews>
  <sheetFormatPr defaultRowHeight="15" x14ac:dyDescent="0.25"/>
  <cols>
    <col min="1" max="1" width="10.28515625" bestFit="1" customWidth="1"/>
    <col min="2" max="2" width="24.7109375" bestFit="1" customWidth="1"/>
    <col min="3" max="3" width="21.5703125" bestFit="1" customWidth="1"/>
    <col min="4" max="4" width="22.5703125" bestFit="1" customWidth="1"/>
    <col min="5" max="5" width="24.5703125" bestFit="1" customWidth="1"/>
    <col min="6" max="6" width="16.140625" bestFit="1" customWidth="1"/>
    <col min="7" max="7" width="12.7109375" bestFit="1" customWidth="1"/>
    <col min="8" max="8" width="18.7109375" bestFit="1" customWidth="1"/>
    <col min="9" max="9" width="13.7109375" bestFit="1" customWidth="1"/>
    <col min="11" max="11" width="10.140625" bestFit="1" customWidth="1"/>
  </cols>
  <sheetData>
    <row r="1" spans="1:11" x14ac:dyDescent="0.25">
      <c r="A1" s="17" t="s">
        <v>1164</v>
      </c>
      <c r="B1" s="17" t="s">
        <v>1165</v>
      </c>
      <c r="C1" s="17" t="s">
        <v>1166</v>
      </c>
      <c r="D1" s="17" t="s">
        <v>1167</v>
      </c>
      <c r="E1" s="17" t="s">
        <v>1168</v>
      </c>
      <c r="F1" s="17" t="s">
        <v>1169</v>
      </c>
      <c r="G1" s="17" t="s">
        <v>1170</v>
      </c>
      <c r="H1" s="17" t="s">
        <v>1171</v>
      </c>
      <c r="I1" s="17" t="s">
        <v>1172</v>
      </c>
      <c r="J1" s="17"/>
      <c r="K1" s="17" t="s">
        <v>18</v>
      </c>
    </row>
    <row r="2" spans="1:11" x14ac:dyDescent="0.25">
      <c r="A2" s="17" t="s">
        <v>1008</v>
      </c>
      <c r="B2" s="120">
        <v>100000</v>
      </c>
      <c r="C2" s="120">
        <v>100000</v>
      </c>
      <c r="D2" s="120">
        <v>100000</v>
      </c>
      <c r="E2" s="120">
        <v>117000</v>
      </c>
      <c r="F2" s="120">
        <v>3000</v>
      </c>
      <c r="G2" s="120">
        <v>50000</v>
      </c>
      <c r="H2" s="1">
        <v>26000</v>
      </c>
      <c r="I2" s="1">
        <v>26000</v>
      </c>
      <c r="J2" s="1"/>
      <c r="K2" s="1"/>
    </row>
    <row r="3" spans="1:11" x14ac:dyDescent="0.25">
      <c r="A3" s="17" t="s">
        <v>1173</v>
      </c>
      <c r="B3" s="120">
        <v>100000</v>
      </c>
      <c r="C3" s="120">
        <v>100000</v>
      </c>
      <c r="D3" s="120">
        <v>100000</v>
      </c>
      <c r="E3" s="120">
        <v>117000</v>
      </c>
      <c r="F3" s="120">
        <v>36000</v>
      </c>
      <c r="G3" s="120">
        <v>50000</v>
      </c>
      <c r="H3" s="1">
        <v>13000</v>
      </c>
      <c r="I3" s="1">
        <v>26000</v>
      </c>
      <c r="J3" s="1"/>
      <c r="K3" s="120">
        <f>SUM(B3:J3)</f>
        <v>542000</v>
      </c>
    </row>
    <row r="4" spans="1:11" x14ac:dyDescent="0.25">
      <c r="A4" s="17" t="s">
        <v>1009</v>
      </c>
      <c r="B4" s="1" t="s">
        <v>1016</v>
      </c>
      <c r="C4" s="1" t="s">
        <v>1016</v>
      </c>
      <c r="D4" s="1" t="s">
        <v>1016</v>
      </c>
      <c r="E4" s="1" t="s">
        <v>1016</v>
      </c>
      <c r="F4" s="1" t="s">
        <v>1174</v>
      </c>
      <c r="G4" s="1"/>
      <c r="H4" s="1" t="s">
        <v>1175</v>
      </c>
      <c r="I4" s="1"/>
      <c r="J4" s="1"/>
      <c r="K4" s="16">
        <f>K3/12</f>
        <v>45166.666666666664</v>
      </c>
    </row>
    <row r="5" spans="1:11" x14ac:dyDescent="0.25">
      <c r="A5" s="17" t="s">
        <v>1176</v>
      </c>
      <c r="B5" s="179">
        <v>43519</v>
      </c>
      <c r="C5" s="179">
        <v>43525</v>
      </c>
      <c r="D5" s="179">
        <v>43525</v>
      </c>
      <c r="E5" s="179">
        <v>43637</v>
      </c>
      <c r="F5" s="1">
        <v>28</v>
      </c>
      <c r="G5" s="179">
        <v>43549</v>
      </c>
      <c r="H5" s="1"/>
      <c r="I5" s="1"/>
      <c r="J5" s="1"/>
      <c r="K5" s="1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9"/>
  <dimension ref="A1:X86"/>
  <sheetViews>
    <sheetView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G55" sqref="G55"/>
    </sheetView>
  </sheetViews>
  <sheetFormatPr defaultRowHeight="15" x14ac:dyDescent="0.25"/>
  <cols>
    <col min="1" max="1" width="7.42578125" bestFit="1" customWidth="1"/>
    <col min="2" max="2" width="8" bestFit="1" customWidth="1"/>
    <col min="3" max="3" width="9.5703125" bestFit="1" customWidth="1"/>
    <col min="4" max="4" width="9" bestFit="1" customWidth="1"/>
    <col min="5" max="5" width="11.140625" bestFit="1" customWidth="1"/>
    <col min="6" max="6" width="5.140625" bestFit="1" customWidth="1"/>
    <col min="7" max="7" width="15.28515625" bestFit="1" customWidth="1"/>
    <col min="8" max="8" width="27.5703125" bestFit="1" customWidth="1"/>
    <col min="9" max="10" width="9" bestFit="1" customWidth="1"/>
    <col min="11" max="11" width="11.140625" bestFit="1" customWidth="1"/>
    <col min="12" max="12" width="14.5703125" bestFit="1" customWidth="1"/>
    <col min="13" max="13" width="11.5703125" bestFit="1" customWidth="1"/>
    <col min="14" max="16" width="12.7109375" bestFit="1" customWidth="1"/>
    <col min="19" max="19" width="10" bestFit="1" customWidth="1"/>
    <col min="20" max="20" width="37.140625" bestFit="1" customWidth="1"/>
    <col min="22" max="22" width="9.28515625" bestFit="1" customWidth="1"/>
    <col min="23" max="23" width="11.7109375" bestFit="1" customWidth="1"/>
    <col min="24" max="24" width="12.28515625" bestFit="1" customWidth="1"/>
    <col min="26" max="26" width="11.7109375" bestFit="1" customWidth="1"/>
  </cols>
  <sheetData>
    <row r="1" spans="1:24" x14ac:dyDescent="0.25">
      <c r="A1" s="128" t="s">
        <v>208</v>
      </c>
      <c r="B1" s="128" t="s">
        <v>352</v>
      </c>
      <c r="C1" s="128" t="s">
        <v>17</v>
      </c>
      <c r="D1" s="128" t="s">
        <v>172</v>
      </c>
      <c r="E1" s="130" t="s">
        <v>499</v>
      </c>
      <c r="F1" s="130"/>
      <c r="G1" s="128" t="s">
        <v>498</v>
      </c>
      <c r="H1" s="15">
        <v>1575000</v>
      </c>
    </row>
    <row r="2" spans="1:24" x14ac:dyDescent="0.25">
      <c r="A2" s="149">
        <v>43664</v>
      </c>
      <c r="B2" s="83">
        <v>23489</v>
      </c>
      <c r="C2" s="83">
        <v>2511</v>
      </c>
      <c r="D2" s="35"/>
      <c r="E2" s="152">
        <v>1575000</v>
      </c>
      <c r="F2" s="167">
        <v>1770</v>
      </c>
      <c r="G2" s="128"/>
      <c r="H2" s="15"/>
    </row>
    <row r="3" spans="1:24" x14ac:dyDescent="0.25">
      <c r="A3" s="149">
        <v>43313</v>
      </c>
      <c r="B3" s="83">
        <f>26000-C3</f>
        <v>13135</v>
      </c>
      <c r="C3" s="83">
        <v>12865</v>
      </c>
      <c r="D3" s="35">
        <f>SUM(B3:C3)</f>
        <v>26000</v>
      </c>
      <c r="E3" s="152">
        <f>E2-B2</f>
        <v>1551511</v>
      </c>
      <c r="G3" s="128" t="s">
        <v>1177</v>
      </c>
      <c r="H3" s="15">
        <v>8075</v>
      </c>
    </row>
    <row r="4" spans="1:24" x14ac:dyDescent="0.25">
      <c r="A4" s="149">
        <v>43344</v>
      </c>
      <c r="B4" s="83">
        <f>26000-C4</f>
        <v>13638</v>
      </c>
      <c r="C4" s="83">
        <v>12362</v>
      </c>
      <c r="D4" s="35">
        <f t="shared" ref="D4:D67" si="0">SUM(B4:C4)</f>
        <v>26000</v>
      </c>
      <c r="E4" s="152">
        <f>E3-B3</f>
        <v>1538376</v>
      </c>
      <c r="G4" s="128" t="s">
        <v>1156</v>
      </c>
      <c r="H4" s="15">
        <v>1770</v>
      </c>
    </row>
    <row r="5" spans="1:24" x14ac:dyDescent="0.25">
      <c r="A5" s="149">
        <v>43374</v>
      </c>
      <c r="B5" s="83">
        <f t="shared" ref="B5:B68" si="1">26000-C5</f>
        <v>13355</v>
      </c>
      <c r="C5" s="83">
        <v>12645</v>
      </c>
      <c r="D5" s="35">
        <f t="shared" si="0"/>
        <v>26000</v>
      </c>
      <c r="E5" s="152">
        <f t="shared" ref="E5:E67" si="2">E4-B4</f>
        <v>1524738</v>
      </c>
      <c r="G5" s="1"/>
      <c r="H5" s="15"/>
      <c r="L5" t="s">
        <v>1178</v>
      </c>
      <c r="M5">
        <v>50000</v>
      </c>
      <c r="P5">
        <v>2391280</v>
      </c>
    </row>
    <row r="6" spans="1:24" x14ac:dyDescent="0.25">
      <c r="A6" s="149">
        <v>43405</v>
      </c>
      <c r="B6" s="83">
        <f t="shared" si="1"/>
        <v>13559</v>
      </c>
      <c r="C6" s="83">
        <v>12441</v>
      </c>
      <c r="D6" s="35">
        <f t="shared" si="0"/>
        <v>26000</v>
      </c>
      <c r="E6" s="152">
        <f t="shared" si="2"/>
        <v>1511383</v>
      </c>
      <c r="G6" s="1" t="s">
        <v>1160</v>
      </c>
      <c r="H6" s="15">
        <f>25903.4*84</f>
        <v>2175885.6</v>
      </c>
      <c r="L6" t="s">
        <v>1179</v>
      </c>
      <c r="M6">
        <v>100</v>
      </c>
      <c r="P6">
        <v>-30000</v>
      </c>
    </row>
    <row r="7" spans="1:24" x14ac:dyDescent="0.25">
      <c r="A7" s="149">
        <v>43435</v>
      </c>
      <c r="B7" s="83">
        <f t="shared" si="1"/>
        <v>13659</v>
      </c>
      <c r="C7" s="83">
        <v>12341</v>
      </c>
      <c r="D7" s="35">
        <f t="shared" si="0"/>
        <v>26000</v>
      </c>
      <c r="E7" s="152">
        <v>1500598</v>
      </c>
      <c r="F7">
        <v>2950</v>
      </c>
      <c r="G7" s="1" t="s">
        <v>17</v>
      </c>
      <c r="H7" s="15">
        <f>H6-H1</f>
        <v>600885.60000000009</v>
      </c>
      <c r="L7" t="s">
        <v>1180</v>
      </c>
      <c r="M7">
        <v>710858</v>
      </c>
      <c r="P7">
        <v>-15000</v>
      </c>
    </row>
    <row r="8" spans="1:24" x14ac:dyDescent="0.25">
      <c r="A8" s="149">
        <v>43466</v>
      </c>
      <c r="B8" s="83">
        <f t="shared" si="1"/>
        <v>13659</v>
      </c>
      <c r="C8" s="83">
        <v>12341</v>
      </c>
      <c r="D8" s="35">
        <f t="shared" si="0"/>
        <v>26000</v>
      </c>
      <c r="E8" s="152">
        <v>1487039</v>
      </c>
      <c r="G8" s="1" t="s">
        <v>843</v>
      </c>
      <c r="H8" s="15">
        <f>H7/84</f>
        <v>7153.4000000000015</v>
      </c>
      <c r="L8" t="s">
        <v>919</v>
      </c>
      <c r="M8">
        <v>1575000</v>
      </c>
    </row>
    <row r="9" spans="1:24" x14ac:dyDescent="0.25">
      <c r="A9" s="149">
        <v>43497</v>
      </c>
      <c r="B9" s="83">
        <f t="shared" si="1"/>
        <v>14953</v>
      </c>
      <c r="C9" s="195">
        <v>11047</v>
      </c>
      <c r="D9" s="35">
        <f t="shared" si="0"/>
        <v>26000</v>
      </c>
      <c r="E9" s="152">
        <f t="shared" si="2"/>
        <v>1473380</v>
      </c>
      <c r="F9">
        <v>118</v>
      </c>
      <c r="G9" s="1"/>
      <c r="H9" s="15"/>
      <c r="M9">
        <f>SUM(M5:M8)</f>
        <v>2335958</v>
      </c>
      <c r="P9">
        <f>SUM(P5:P8)</f>
        <v>2346280</v>
      </c>
    </row>
    <row r="10" spans="1:24" x14ac:dyDescent="0.25">
      <c r="A10" s="149">
        <v>43525</v>
      </c>
      <c r="B10" s="83">
        <f t="shared" si="1"/>
        <v>13908</v>
      </c>
      <c r="C10" s="195">
        <v>12092</v>
      </c>
      <c r="D10" s="35">
        <f t="shared" si="0"/>
        <v>26000</v>
      </c>
      <c r="E10" s="152">
        <f t="shared" si="2"/>
        <v>1458427</v>
      </c>
      <c r="G10" s="1"/>
      <c r="H10" s="1"/>
      <c r="N10" s="710">
        <f>P5-M9</f>
        <v>55322</v>
      </c>
      <c r="O10" s="710"/>
    </row>
    <row r="11" spans="1:24" x14ac:dyDescent="0.25">
      <c r="A11" s="149">
        <v>43556</v>
      </c>
      <c r="B11" s="83">
        <f t="shared" si="1"/>
        <v>14406</v>
      </c>
      <c r="C11" s="83">
        <v>11594</v>
      </c>
      <c r="D11" s="35">
        <f t="shared" si="0"/>
        <v>26000</v>
      </c>
      <c r="E11" s="152">
        <f t="shared" si="2"/>
        <v>1444519</v>
      </c>
    </row>
    <row r="12" spans="1:24" x14ac:dyDescent="0.25">
      <c r="A12" s="149">
        <v>43586</v>
      </c>
      <c r="B12" s="83">
        <f t="shared" si="1"/>
        <v>14120</v>
      </c>
      <c r="C12" s="83">
        <v>11880</v>
      </c>
      <c r="D12" s="35">
        <f t="shared" si="0"/>
        <v>26000</v>
      </c>
      <c r="E12" s="152">
        <f t="shared" si="2"/>
        <v>1430113</v>
      </c>
    </row>
    <row r="13" spans="1:24" x14ac:dyDescent="0.25">
      <c r="A13" s="149">
        <v>43617</v>
      </c>
      <c r="B13" s="83">
        <f t="shared" si="1"/>
        <v>14648</v>
      </c>
      <c r="C13" s="83">
        <v>11352</v>
      </c>
      <c r="D13" s="35">
        <f t="shared" si="0"/>
        <v>26000</v>
      </c>
      <c r="E13" s="152">
        <f t="shared" si="2"/>
        <v>1415993</v>
      </c>
    </row>
    <row r="14" spans="1:24" x14ac:dyDescent="0.25">
      <c r="A14" s="149">
        <v>43647</v>
      </c>
      <c r="B14" s="83">
        <f t="shared" si="1"/>
        <v>14323</v>
      </c>
      <c r="C14" s="83">
        <v>11677</v>
      </c>
      <c r="D14" s="35">
        <f t="shared" si="0"/>
        <v>26000</v>
      </c>
      <c r="E14" s="152">
        <f t="shared" si="2"/>
        <v>1401345</v>
      </c>
      <c r="G14" s="168">
        <v>43312</v>
      </c>
      <c r="H14" s="1" t="s">
        <v>1181</v>
      </c>
      <c r="I14" s="15">
        <v>2511</v>
      </c>
      <c r="J14" s="15"/>
      <c r="K14" s="15">
        <v>-1577511</v>
      </c>
      <c r="L14">
        <v>1538494</v>
      </c>
      <c r="M14">
        <f>L14*9.7/100</f>
        <v>149233.91799999998</v>
      </c>
      <c r="N14">
        <f>M14/12</f>
        <v>12436.159833333331</v>
      </c>
      <c r="O14">
        <f>N14/30</f>
        <v>414.53866111111103</v>
      </c>
    </row>
    <row r="15" spans="1:24" x14ac:dyDescent="0.25">
      <c r="A15" s="149">
        <v>43678</v>
      </c>
      <c r="B15" s="83">
        <f t="shared" si="1"/>
        <v>14269</v>
      </c>
      <c r="C15" s="83">
        <v>11731</v>
      </c>
      <c r="D15" s="35">
        <f t="shared" si="0"/>
        <v>26000</v>
      </c>
      <c r="E15" s="152">
        <f t="shared" si="2"/>
        <v>1387022</v>
      </c>
      <c r="G15" s="168">
        <v>43325</v>
      </c>
      <c r="H15" s="1" t="s">
        <v>1182</v>
      </c>
      <c r="I15" s="15"/>
      <c r="J15" s="15">
        <v>26000</v>
      </c>
      <c r="K15" s="15">
        <v>-1551511</v>
      </c>
    </row>
    <row r="16" spans="1:24" x14ac:dyDescent="0.25">
      <c r="A16" s="149">
        <v>43709</v>
      </c>
      <c r="B16" s="83">
        <f t="shared" si="1"/>
        <v>14780</v>
      </c>
      <c r="C16" s="83">
        <v>11220</v>
      </c>
      <c r="D16" s="35">
        <f t="shared" si="0"/>
        <v>26000</v>
      </c>
      <c r="E16" s="152">
        <f t="shared" si="2"/>
        <v>1372753</v>
      </c>
      <c r="G16" s="168">
        <v>43343</v>
      </c>
      <c r="H16" s="1" t="s">
        <v>1183</v>
      </c>
      <c r="I16" s="15">
        <v>12865</v>
      </c>
      <c r="J16" s="15"/>
      <c r="K16" s="15">
        <v>-1564376</v>
      </c>
      <c r="P16">
        <v>2511</v>
      </c>
      <c r="S16" s="166"/>
      <c r="V16" s="119"/>
      <c r="X16" s="11"/>
    </row>
    <row r="17" spans="1:24" x14ac:dyDescent="0.25">
      <c r="A17" s="149">
        <v>43739</v>
      </c>
      <c r="B17" s="83">
        <f t="shared" si="1"/>
        <v>14568</v>
      </c>
      <c r="C17" s="83">
        <v>11432</v>
      </c>
      <c r="D17" s="35">
        <f t="shared" si="0"/>
        <v>26000</v>
      </c>
      <c r="E17" s="152">
        <f t="shared" si="2"/>
        <v>1357973</v>
      </c>
      <c r="G17" s="168">
        <v>43358</v>
      </c>
      <c r="H17" s="1" t="s">
        <v>1182</v>
      </c>
      <c r="I17" s="15"/>
      <c r="J17" s="15">
        <v>26000</v>
      </c>
      <c r="K17" s="15">
        <v>-1538376</v>
      </c>
      <c r="L17" s="11">
        <f>J15-I14</f>
        <v>23489</v>
      </c>
      <c r="P17">
        <f>P16/O14</f>
        <v>6.0573361077339012</v>
      </c>
      <c r="S17" s="166"/>
      <c r="V17" s="119"/>
      <c r="X17" s="11"/>
    </row>
    <row r="18" spans="1:24" x14ac:dyDescent="0.25">
      <c r="A18" s="149">
        <v>43770</v>
      </c>
      <c r="B18" s="83">
        <f t="shared" si="1"/>
        <v>15039</v>
      </c>
      <c r="C18" s="83">
        <v>10961</v>
      </c>
      <c r="D18" s="35">
        <f t="shared" si="0"/>
        <v>26000</v>
      </c>
      <c r="E18" s="152">
        <f t="shared" si="2"/>
        <v>1343405</v>
      </c>
      <c r="G18" s="168">
        <v>43363</v>
      </c>
      <c r="H18" s="1" t="s">
        <v>1184</v>
      </c>
      <c r="I18" s="15">
        <v>118</v>
      </c>
      <c r="J18" s="15"/>
      <c r="K18" s="15">
        <v>-1538494</v>
      </c>
      <c r="S18" s="166"/>
    </row>
    <row r="19" spans="1:24" x14ac:dyDescent="0.25">
      <c r="A19" s="149">
        <v>43800</v>
      </c>
      <c r="B19" s="83">
        <f t="shared" si="1"/>
        <v>14809</v>
      </c>
      <c r="C19" s="83">
        <v>11191</v>
      </c>
      <c r="D19" s="35">
        <f t="shared" si="0"/>
        <v>26000</v>
      </c>
      <c r="E19" s="152">
        <f t="shared" si="2"/>
        <v>1328366</v>
      </c>
      <c r="G19" s="168">
        <v>43373</v>
      </c>
      <c r="H19" s="1" t="s">
        <v>1183</v>
      </c>
      <c r="I19" s="15">
        <v>12362</v>
      </c>
      <c r="J19" s="15"/>
      <c r="K19" s="15">
        <v>-1550856</v>
      </c>
    </row>
    <row r="20" spans="1:24" x14ac:dyDescent="0.25">
      <c r="A20" s="149">
        <v>43831</v>
      </c>
      <c r="B20" s="83">
        <f t="shared" si="1"/>
        <v>14947</v>
      </c>
      <c r="C20" s="83">
        <v>11053</v>
      </c>
      <c r="D20" s="35">
        <f t="shared" si="0"/>
        <v>26000</v>
      </c>
      <c r="E20" s="152">
        <f t="shared" si="2"/>
        <v>1313557</v>
      </c>
      <c r="G20" s="168">
        <v>43386</v>
      </c>
      <c r="H20" s="1" t="s">
        <v>1182</v>
      </c>
      <c r="I20" s="15"/>
      <c r="J20" s="15">
        <v>26000</v>
      </c>
      <c r="K20" s="15">
        <v>-1524856</v>
      </c>
    </row>
    <row r="21" spans="1:24" x14ac:dyDescent="0.25">
      <c r="A21" s="149">
        <v>43862</v>
      </c>
      <c r="B21" s="83">
        <f t="shared" si="1"/>
        <v>15759</v>
      </c>
      <c r="C21" s="83">
        <v>10241</v>
      </c>
      <c r="D21" s="35">
        <f t="shared" si="0"/>
        <v>26000</v>
      </c>
      <c r="E21" s="152">
        <f t="shared" si="2"/>
        <v>1298610</v>
      </c>
      <c r="G21" s="168">
        <v>43404</v>
      </c>
      <c r="H21" s="1" t="s">
        <v>1183</v>
      </c>
      <c r="I21" s="15">
        <v>12645</v>
      </c>
      <c r="J21" s="15"/>
      <c r="K21" s="15">
        <v>-1537501</v>
      </c>
      <c r="L21" s="11"/>
    </row>
    <row r="22" spans="1:24" x14ac:dyDescent="0.25">
      <c r="A22" s="149">
        <v>43891</v>
      </c>
      <c r="B22" s="83">
        <f t="shared" si="1"/>
        <v>15446</v>
      </c>
      <c r="C22" s="83">
        <v>10554</v>
      </c>
      <c r="D22" s="35">
        <f t="shared" si="0"/>
        <v>26000</v>
      </c>
      <c r="E22" s="152">
        <f t="shared" si="2"/>
        <v>1282851</v>
      </c>
      <c r="G22" s="168">
        <v>43419</v>
      </c>
      <c r="H22" s="1" t="s">
        <v>1182</v>
      </c>
      <c r="I22" s="15"/>
      <c r="J22" s="15">
        <v>26000</v>
      </c>
      <c r="K22" s="15">
        <v>-1511501</v>
      </c>
      <c r="L22" s="169"/>
    </row>
    <row r="23" spans="1:24" x14ac:dyDescent="0.25">
      <c r="A23" s="149">
        <v>43922</v>
      </c>
      <c r="B23" s="83">
        <f t="shared" si="1"/>
        <v>15570</v>
      </c>
      <c r="C23" s="83">
        <v>10430</v>
      </c>
      <c r="D23" s="35">
        <f t="shared" si="0"/>
        <v>26000</v>
      </c>
      <c r="E23" s="152">
        <f t="shared" si="2"/>
        <v>1267405</v>
      </c>
      <c r="G23" s="168">
        <v>43439</v>
      </c>
      <c r="H23" s="1" t="s">
        <v>1185</v>
      </c>
      <c r="I23" s="15">
        <v>2950</v>
      </c>
      <c r="J23" s="15"/>
      <c r="K23" s="15">
        <v>-1526598</v>
      </c>
    </row>
    <row r="24" spans="1:24" x14ac:dyDescent="0.25">
      <c r="A24" s="149">
        <v>43952</v>
      </c>
      <c r="B24" s="83">
        <f t="shared" si="1"/>
        <v>15695</v>
      </c>
      <c r="C24" s="83">
        <v>10305</v>
      </c>
      <c r="D24" s="35">
        <f t="shared" si="0"/>
        <v>26000</v>
      </c>
      <c r="E24" s="152">
        <f t="shared" si="2"/>
        <v>1251835</v>
      </c>
      <c r="G24" s="168">
        <v>43447</v>
      </c>
      <c r="H24" s="1" t="s">
        <v>1182</v>
      </c>
      <c r="I24" s="15"/>
      <c r="J24" s="15">
        <v>26000</v>
      </c>
      <c r="K24" s="15">
        <v>-1500598</v>
      </c>
    </row>
    <row r="25" spans="1:24" x14ac:dyDescent="0.25">
      <c r="A25" s="149">
        <v>43983</v>
      </c>
      <c r="B25" s="83">
        <f t="shared" si="1"/>
        <v>15821</v>
      </c>
      <c r="C25" s="83">
        <v>10179</v>
      </c>
      <c r="D25" s="35">
        <f t="shared" si="0"/>
        <v>26000</v>
      </c>
      <c r="E25" s="152">
        <f t="shared" si="2"/>
        <v>1236140</v>
      </c>
      <c r="G25" s="168">
        <v>43465</v>
      </c>
      <c r="H25" s="1" t="s">
        <v>1183</v>
      </c>
      <c r="I25" s="15">
        <v>12441</v>
      </c>
      <c r="J25" s="15"/>
      <c r="K25" s="15">
        <v>-1513039</v>
      </c>
    </row>
    <row r="26" spans="1:24" x14ac:dyDescent="0.25">
      <c r="A26" s="149">
        <v>44013</v>
      </c>
      <c r="B26" s="83">
        <f t="shared" si="1"/>
        <v>15948</v>
      </c>
      <c r="C26" s="83">
        <v>10052</v>
      </c>
      <c r="D26" s="35">
        <f t="shared" si="0"/>
        <v>26000</v>
      </c>
      <c r="E26" s="152">
        <f t="shared" si="2"/>
        <v>1220319</v>
      </c>
      <c r="G26" s="168">
        <v>43479</v>
      </c>
      <c r="H26" s="1" t="s">
        <v>1182</v>
      </c>
      <c r="I26" s="15"/>
      <c r="J26" s="15">
        <v>26000</v>
      </c>
      <c r="K26" s="15">
        <v>-1487039</v>
      </c>
    </row>
    <row r="27" spans="1:24" x14ac:dyDescent="0.25">
      <c r="A27" s="149">
        <v>44044</v>
      </c>
      <c r="B27" s="83">
        <f t="shared" si="1"/>
        <v>16076</v>
      </c>
      <c r="C27" s="83">
        <v>9924</v>
      </c>
      <c r="D27" s="35">
        <f t="shared" si="0"/>
        <v>26000</v>
      </c>
      <c r="E27" s="152">
        <f t="shared" si="2"/>
        <v>1204371</v>
      </c>
    </row>
    <row r="28" spans="1:24" x14ac:dyDescent="0.25">
      <c r="A28" s="149">
        <v>44075</v>
      </c>
      <c r="B28" s="83">
        <f t="shared" si="1"/>
        <v>16206</v>
      </c>
      <c r="C28" s="83">
        <v>9794</v>
      </c>
      <c r="D28" s="35">
        <f t="shared" si="0"/>
        <v>26000</v>
      </c>
      <c r="E28" s="152">
        <f t="shared" si="2"/>
        <v>1188295</v>
      </c>
    </row>
    <row r="29" spans="1:24" x14ac:dyDescent="0.25">
      <c r="A29" s="149">
        <v>44105</v>
      </c>
      <c r="B29" s="83">
        <f t="shared" si="1"/>
        <v>16336</v>
      </c>
      <c r="C29" s="83">
        <v>9664</v>
      </c>
      <c r="D29" s="35">
        <f t="shared" si="0"/>
        <v>26000</v>
      </c>
      <c r="E29" s="152">
        <f t="shared" si="2"/>
        <v>1172089</v>
      </c>
      <c r="L29">
        <f>1244100/1500598</f>
        <v>0.82906947763491623</v>
      </c>
    </row>
    <row r="30" spans="1:24" x14ac:dyDescent="0.25">
      <c r="A30" s="129">
        <v>44136</v>
      </c>
      <c r="B30" s="1">
        <f t="shared" si="1"/>
        <v>16467</v>
      </c>
      <c r="C30" s="1">
        <v>9533</v>
      </c>
      <c r="D30" s="15">
        <f t="shared" si="0"/>
        <v>26000</v>
      </c>
      <c r="E30" s="152">
        <f t="shared" si="2"/>
        <v>1155753</v>
      </c>
      <c r="L30">
        <f>L29*12</f>
        <v>9.9488337316189952</v>
      </c>
    </row>
    <row r="31" spans="1:24" x14ac:dyDescent="0.25">
      <c r="A31" s="129">
        <v>44166</v>
      </c>
      <c r="B31" s="1">
        <f t="shared" si="1"/>
        <v>16599</v>
      </c>
      <c r="C31" s="1">
        <v>9401</v>
      </c>
      <c r="D31" s="15">
        <f t="shared" si="0"/>
        <v>26000</v>
      </c>
      <c r="E31" s="152">
        <f t="shared" si="2"/>
        <v>1139286</v>
      </c>
    </row>
    <row r="32" spans="1:24" x14ac:dyDescent="0.25">
      <c r="A32" s="129">
        <v>44197</v>
      </c>
      <c r="B32" s="1">
        <f t="shared" si="1"/>
        <v>16733</v>
      </c>
      <c r="C32" s="1">
        <v>9267</v>
      </c>
      <c r="D32" s="15">
        <f t="shared" si="0"/>
        <v>26000</v>
      </c>
      <c r="E32" s="152">
        <f t="shared" si="2"/>
        <v>1122687</v>
      </c>
    </row>
    <row r="33" spans="1:5" x14ac:dyDescent="0.25">
      <c r="A33" s="129">
        <v>44228</v>
      </c>
      <c r="B33" s="1">
        <f t="shared" si="1"/>
        <v>16867</v>
      </c>
      <c r="C33" s="1">
        <v>9133</v>
      </c>
      <c r="D33" s="15">
        <f t="shared" si="0"/>
        <v>26000</v>
      </c>
      <c r="E33" s="152">
        <f t="shared" si="2"/>
        <v>1105954</v>
      </c>
    </row>
    <row r="34" spans="1:5" x14ac:dyDescent="0.25">
      <c r="A34" s="129">
        <v>44256</v>
      </c>
      <c r="B34" s="1">
        <f t="shared" si="1"/>
        <v>17003</v>
      </c>
      <c r="C34" s="1">
        <v>8997</v>
      </c>
      <c r="D34" s="15">
        <f t="shared" si="0"/>
        <v>26000</v>
      </c>
      <c r="E34" s="152">
        <f t="shared" si="2"/>
        <v>1089087</v>
      </c>
    </row>
    <row r="35" spans="1:5" x14ac:dyDescent="0.25">
      <c r="A35" s="129">
        <v>44287</v>
      </c>
      <c r="B35" s="1">
        <f t="shared" si="1"/>
        <v>17139</v>
      </c>
      <c r="C35" s="1">
        <v>8861</v>
      </c>
      <c r="D35" s="15">
        <f t="shared" si="0"/>
        <v>26000</v>
      </c>
      <c r="E35" s="152">
        <f t="shared" si="2"/>
        <v>1072084</v>
      </c>
    </row>
    <row r="36" spans="1:5" x14ac:dyDescent="0.25">
      <c r="A36" s="129">
        <v>44317</v>
      </c>
      <c r="B36" s="1">
        <f t="shared" si="1"/>
        <v>17277</v>
      </c>
      <c r="C36" s="1">
        <v>8723</v>
      </c>
      <c r="D36" s="15">
        <f t="shared" si="0"/>
        <v>26000</v>
      </c>
      <c r="E36" s="152">
        <f t="shared" si="2"/>
        <v>1054945</v>
      </c>
    </row>
    <row r="37" spans="1:5" x14ac:dyDescent="0.25">
      <c r="A37" s="129">
        <v>44348</v>
      </c>
      <c r="B37" s="1">
        <f t="shared" si="1"/>
        <v>17416</v>
      </c>
      <c r="C37" s="1">
        <v>8584</v>
      </c>
      <c r="D37" s="15">
        <f t="shared" si="0"/>
        <v>26000</v>
      </c>
      <c r="E37" s="152">
        <f t="shared" si="2"/>
        <v>1037668</v>
      </c>
    </row>
    <row r="38" spans="1:5" x14ac:dyDescent="0.25">
      <c r="A38" s="129">
        <v>44378</v>
      </c>
      <c r="B38" s="1">
        <f t="shared" si="1"/>
        <v>17556</v>
      </c>
      <c r="C38" s="1">
        <v>8444</v>
      </c>
      <c r="D38" s="15">
        <f t="shared" si="0"/>
        <v>26000</v>
      </c>
      <c r="E38" s="152">
        <f t="shared" si="2"/>
        <v>1020252</v>
      </c>
    </row>
    <row r="39" spans="1:5" x14ac:dyDescent="0.25">
      <c r="A39" s="129">
        <v>44409</v>
      </c>
      <c r="B39" s="1">
        <f t="shared" si="1"/>
        <v>17697</v>
      </c>
      <c r="C39" s="1">
        <v>8303</v>
      </c>
      <c r="D39" s="15">
        <f t="shared" si="0"/>
        <v>26000</v>
      </c>
      <c r="E39" s="152">
        <f t="shared" si="2"/>
        <v>1002696</v>
      </c>
    </row>
    <row r="40" spans="1:5" x14ac:dyDescent="0.25">
      <c r="A40" s="129">
        <v>44440</v>
      </c>
      <c r="B40" s="1">
        <f t="shared" si="1"/>
        <v>17839</v>
      </c>
      <c r="C40" s="1">
        <v>8161</v>
      </c>
      <c r="D40" s="15">
        <f t="shared" si="0"/>
        <v>26000</v>
      </c>
      <c r="E40" s="152">
        <f t="shared" si="2"/>
        <v>984999</v>
      </c>
    </row>
    <row r="41" spans="1:5" x14ac:dyDescent="0.25">
      <c r="A41" s="129">
        <v>44470</v>
      </c>
      <c r="B41" s="1">
        <f t="shared" si="1"/>
        <v>17983</v>
      </c>
      <c r="C41" s="1">
        <v>8017</v>
      </c>
      <c r="D41" s="15">
        <f t="shared" si="0"/>
        <v>26000</v>
      </c>
      <c r="E41" s="152">
        <f t="shared" si="2"/>
        <v>967160</v>
      </c>
    </row>
    <row r="42" spans="1:5" x14ac:dyDescent="0.25">
      <c r="A42" s="129">
        <v>44501</v>
      </c>
      <c r="B42" s="1">
        <f t="shared" si="1"/>
        <v>18127</v>
      </c>
      <c r="C42" s="1">
        <v>7873</v>
      </c>
      <c r="D42" s="15">
        <f t="shared" si="0"/>
        <v>26000</v>
      </c>
      <c r="E42" s="152">
        <f t="shared" si="2"/>
        <v>949177</v>
      </c>
    </row>
    <row r="43" spans="1:5" x14ac:dyDescent="0.25">
      <c r="A43" s="129">
        <v>44531</v>
      </c>
      <c r="B43" s="1">
        <f t="shared" si="1"/>
        <v>18273</v>
      </c>
      <c r="C43" s="1">
        <v>7727</v>
      </c>
      <c r="D43" s="15">
        <f t="shared" si="0"/>
        <v>26000</v>
      </c>
      <c r="E43" s="152">
        <f t="shared" si="2"/>
        <v>931050</v>
      </c>
    </row>
    <row r="44" spans="1:5" x14ac:dyDescent="0.25">
      <c r="A44" s="129">
        <v>44562</v>
      </c>
      <c r="B44" s="1">
        <f t="shared" si="1"/>
        <v>18420</v>
      </c>
      <c r="C44" s="1">
        <v>7580</v>
      </c>
      <c r="D44" s="15">
        <f t="shared" si="0"/>
        <v>26000</v>
      </c>
      <c r="E44" s="152">
        <f t="shared" si="2"/>
        <v>912777</v>
      </c>
    </row>
    <row r="45" spans="1:5" x14ac:dyDescent="0.25">
      <c r="A45" s="129">
        <v>44593</v>
      </c>
      <c r="B45" s="1">
        <f t="shared" si="1"/>
        <v>18568</v>
      </c>
      <c r="C45" s="1">
        <v>7432</v>
      </c>
      <c r="D45" s="15">
        <f t="shared" si="0"/>
        <v>26000</v>
      </c>
      <c r="E45" s="152">
        <f t="shared" si="2"/>
        <v>894357</v>
      </c>
    </row>
    <row r="46" spans="1:5" x14ac:dyDescent="0.25">
      <c r="A46" s="129">
        <v>44621</v>
      </c>
      <c r="B46" s="1">
        <f t="shared" si="1"/>
        <v>18718</v>
      </c>
      <c r="C46" s="1">
        <v>7282</v>
      </c>
      <c r="D46" s="15">
        <f t="shared" si="0"/>
        <v>26000</v>
      </c>
      <c r="E46" s="152">
        <f t="shared" si="2"/>
        <v>875789</v>
      </c>
    </row>
    <row r="47" spans="1:5" x14ac:dyDescent="0.25">
      <c r="A47" s="129">
        <v>44652</v>
      </c>
      <c r="B47" s="1">
        <f t="shared" si="1"/>
        <v>18868</v>
      </c>
      <c r="C47" s="1">
        <v>7132</v>
      </c>
      <c r="D47" s="15">
        <f t="shared" si="0"/>
        <v>26000</v>
      </c>
      <c r="E47" s="152">
        <f t="shared" si="2"/>
        <v>857071</v>
      </c>
    </row>
    <row r="48" spans="1:5" x14ac:dyDescent="0.25">
      <c r="A48" s="129">
        <v>44682</v>
      </c>
      <c r="B48" s="1">
        <f t="shared" si="1"/>
        <v>19020</v>
      </c>
      <c r="C48" s="1">
        <v>6980</v>
      </c>
      <c r="D48" s="15">
        <f t="shared" si="0"/>
        <v>26000</v>
      </c>
      <c r="E48" s="152">
        <f t="shared" si="2"/>
        <v>838203</v>
      </c>
    </row>
    <row r="49" spans="1:5" x14ac:dyDescent="0.25">
      <c r="A49" s="129">
        <v>44713</v>
      </c>
      <c r="B49" s="1">
        <f t="shared" si="1"/>
        <v>19173</v>
      </c>
      <c r="C49" s="1">
        <v>6827</v>
      </c>
      <c r="D49" s="15">
        <f t="shared" si="0"/>
        <v>26000</v>
      </c>
      <c r="E49" s="152">
        <f t="shared" si="2"/>
        <v>819183</v>
      </c>
    </row>
    <row r="50" spans="1:5" x14ac:dyDescent="0.25">
      <c r="A50" s="129">
        <v>44743</v>
      </c>
      <c r="B50" s="1">
        <f t="shared" si="1"/>
        <v>19327</v>
      </c>
      <c r="C50" s="1">
        <v>6673</v>
      </c>
      <c r="D50" s="15">
        <f t="shared" si="0"/>
        <v>26000</v>
      </c>
      <c r="E50" s="152">
        <f t="shared" si="2"/>
        <v>800010</v>
      </c>
    </row>
    <row r="51" spans="1:5" x14ac:dyDescent="0.25">
      <c r="A51" s="129">
        <v>44774</v>
      </c>
      <c r="B51" s="1">
        <f t="shared" si="1"/>
        <v>19482</v>
      </c>
      <c r="C51" s="1">
        <v>6518</v>
      </c>
      <c r="D51" s="15">
        <f t="shared" si="0"/>
        <v>26000</v>
      </c>
      <c r="E51" s="152">
        <f t="shared" si="2"/>
        <v>780683</v>
      </c>
    </row>
    <row r="52" spans="1:5" x14ac:dyDescent="0.25">
      <c r="A52" s="129">
        <v>44805</v>
      </c>
      <c r="B52" s="1">
        <f t="shared" si="1"/>
        <v>19639</v>
      </c>
      <c r="C52" s="1">
        <v>6361</v>
      </c>
      <c r="D52" s="15">
        <f t="shared" si="0"/>
        <v>26000</v>
      </c>
      <c r="E52" s="152">
        <f t="shared" si="2"/>
        <v>761201</v>
      </c>
    </row>
    <row r="53" spans="1:5" x14ac:dyDescent="0.25">
      <c r="A53" s="129">
        <v>44835</v>
      </c>
      <c r="B53" s="1">
        <f t="shared" si="1"/>
        <v>19797</v>
      </c>
      <c r="C53" s="1">
        <v>6203</v>
      </c>
      <c r="D53" s="15">
        <f t="shared" si="0"/>
        <v>26000</v>
      </c>
      <c r="E53" s="152">
        <f t="shared" si="2"/>
        <v>741562</v>
      </c>
    </row>
    <row r="54" spans="1:5" x14ac:dyDescent="0.25">
      <c r="A54" s="129">
        <v>44866</v>
      </c>
      <c r="B54" s="1">
        <f t="shared" si="1"/>
        <v>19956</v>
      </c>
      <c r="C54" s="1">
        <v>6044</v>
      </c>
      <c r="D54" s="15">
        <f t="shared" si="0"/>
        <v>26000</v>
      </c>
      <c r="E54" s="152">
        <f t="shared" si="2"/>
        <v>721765</v>
      </c>
    </row>
    <row r="55" spans="1:5" x14ac:dyDescent="0.25">
      <c r="A55" s="129">
        <v>44896</v>
      </c>
      <c r="B55" s="1">
        <f t="shared" si="1"/>
        <v>20117</v>
      </c>
      <c r="C55" s="1">
        <v>5883</v>
      </c>
      <c r="D55" s="15">
        <f t="shared" si="0"/>
        <v>26000</v>
      </c>
      <c r="E55" s="152">
        <f t="shared" si="2"/>
        <v>701809</v>
      </c>
    </row>
    <row r="56" spans="1:5" x14ac:dyDescent="0.25">
      <c r="A56" s="129">
        <v>44927</v>
      </c>
      <c r="B56" s="1">
        <f t="shared" si="1"/>
        <v>20279</v>
      </c>
      <c r="C56" s="1">
        <v>5721</v>
      </c>
      <c r="D56" s="15">
        <f t="shared" si="0"/>
        <v>26000</v>
      </c>
      <c r="E56" s="152">
        <f t="shared" si="2"/>
        <v>681692</v>
      </c>
    </row>
    <row r="57" spans="1:5" x14ac:dyDescent="0.25">
      <c r="A57" s="129">
        <v>44958</v>
      </c>
      <c r="B57" s="1">
        <f t="shared" si="1"/>
        <v>20442</v>
      </c>
      <c r="C57" s="1">
        <v>5558</v>
      </c>
      <c r="D57" s="15">
        <f t="shared" si="0"/>
        <v>26000</v>
      </c>
      <c r="E57" s="152">
        <f t="shared" si="2"/>
        <v>661413</v>
      </c>
    </row>
    <row r="58" spans="1:5" x14ac:dyDescent="0.25">
      <c r="A58" s="129">
        <v>44986</v>
      </c>
      <c r="B58" s="1">
        <f t="shared" si="1"/>
        <v>20606</v>
      </c>
      <c r="C58" s="1">
        <v>5394</v>
      </c>
      <c r="D58" s="15">
        <f t="shared" si="0"/>
        <v>26000</v>
      </c>
      <c r="E58" s="152">
        <f t="shared" si="2"/>
        <v>640971</v>
      </c>
    </row>
    <row r="59" spans="1:5" x14ac:dyDescent="0.25">
      <c r="A59" s="129">
        <v>45017</v>
      </c>
      <c r="B59" s="1">
        <f t="shared" si="1"/>
        <v>20772</v>
      </c>
      <c r="C59" s="1">
        <v>5228</v>
      </c>
      <c r="D59" s="15">
        <f t="shared" si="0"/>
        <v>26000</v>
      </c>
      <c r="E59" s="152">
        <f t="shared" si="2"/>
        <v>620365</v>
      </c>
    </row>
    <row r="60" spans="1:5" x14ac:dyDescent="0.25">
      <c r="A60" s="129">
        <v>45047</v>
      </c>
      <c r="B60" s="1">
        <f t="shared" si="1"/>
        <v>20939</v>
      </c>
      <c r="C60" s="1">
        <v>5061</v>
      </c>
      <c r="D60" s="15">
        <f t="shared" si="0"/>
        <v>26000</v>
      </c>
      <c r="E60" s="152">
        <f t="shared" si="2"/>
        <v>599593</v>
      </c>
    </row>
    <row r="61" spans="1:5" x14ac:dyDescent="0.25">
      <c r="A61" s="129">
        <v>45078</v>
      </c>
      <c r="B61" s="1">
        <f t="shared" si="1"/>
        <v>21108</v>
      </c>
      <c r="C61" s="1">
        <v>4892</v>
      </c>
      <c r="D61" s="15">
        <f t="shared" si="0"/>
        <v>26000</v>
      </c>
      <c r="E61" s="152">
        <f t="shared" si="2"/>
        <v>578654</v>
      </c>
    </row>
    <row r="62" spans="1:5" x14ac:dyDescent="0.25">
      <c r="A62" s="129">
        <v>45108</v>
      </c>
      <c r="B62" s="1">
        <f t="shared" si="1"/>
        <v>21278</v>
      </c>
      <c r="C62" s="1">
        <v>4722</v>
      </c>
      <c r="D62" s="15">
        <f t="shared" si="0"/>
        <v>26000</v>
      </c>
      <c r="E62" s="152">
        <f t="shared" si="2"/>
        <v>557546</v>
      </c>
    </row>
    <row r="63" spans="1:5" x14ac:dyDescent="0.25">
      <c r="A63" s="129">
        <v>45139</v>
      </c>
      <c r="B63" s="1">
        <f t="shared" si="1"/>
        <v>21449</v>
      </c>
      <c r="C63" s="1">
        <v>4551</v>
      </c>
      <c r="D63" s="15">
        <f t="shared" si="0"/>
        <v>26000</v>
      </c>
      <c r="E63" s="152">
        <f t="shared" si="2"/>
        <v>536268</v>
      </c>
    </row>
    <row r="64" spans="1:5" x14ac:dyDescent="0.25">
      <c r="A64" s="129">
        <v>45170</v>
      </c>
      <c r="B64" s="1">
        <f t="shared" si="1"/>
        <v>21621</v>
      </c>
      <c r="C64" s="1">
        <v>4379</v>
      </c>
      <c r="D64" s="15">
        <f t="shared" si="0"/>
        <v>26000</v>
      </c>
      <c r="E64" s="152">
        <f t="shared" si="2"/>
        <v>514819</v>
      </c>
    </row>
    <row r="65" spans="1:5" x14ac:dyDescent="0.25">
      <c r="A65" s="129">
        <v>45200</v>
      </c>
      <c r="B65" s="1">
        <f t="shared" si="1"/>
        <v>21795</v>
      </c>
      <c r="C65" s="1">
        <v>4205</v>
      </c>
      <c r="D65" s="15">
        <f t="shared" si="0"/>
        <v>26000</v>
      </c>
      <c r="E65" s="152">
        <f t="shared" si="2"/>
        <v>493198</v>
      </c>
    </row>
    <row r="66" spans="1:5" x14ac:dyDescent="0.25">
      <c r="A66" s="129">
        <v>45231</v>
      </c>
      <c r="B66" s="1">
        <f t="shared" si="1"/>
        <v>21971</v>
      </c>
      <c r="C66" s="1">
        <v>4029</v>
      </c>
      <c r="D66" s="15">
        <f t="shared" si="0"/>
        <v>26000</v>
      </c>
      <c r="E66" s="152">
        <f t="shared" si="2"/>
        <v>471403</v>
      </c>
    </row>
    <row r="67" spans="1:5" x14ac:dyDescent="0.25">
      <c r="A67" s="129">
        <v>45261</v>
      </c>
      <c r="B67" s="1">
        <f t="shared" si="1"/>
        <v>22148</v>
      </c>
      <c r="C67" s="1">
        <v>3852</v>
      </c>
      <c r="D67" s="15">
        <f t="shared" si="0"/>
        <v>26000</v>
      </c>
      <c r="E67" s="152">
        <f t="shared" si="2"/>
        <v>449432</v>
      </c>
    </row>
    <row r="68" spans="1:5" x14ac:dyDescent="0.25">
      <c r="A68" s="129">
        <v>45292</v>
      </c>
      <c r="B68" s="1">
        <f t="shared" si="1"/>
        <v>22326</v>
      </c>
      <c r="C68" s="1">
        <v>3674</v>
      </c>
      <c r="D68" s="15">
        <f t="shared" ref="D68:D86" si="3">SUM(B68:C68)</f>
        <v>26000</v>
      </c>
      <c r="E68" s="152">
        <f t="shared" ref="E68:E86" si="4">E67-B67</f>
        <v>427284</v>
      </c>
    </row>
    <row r="69" spans="1:5" x14ac:dyDescent="0.25">
      <c r="A69" s="129">
        <v>45323</v>
      </c>
      <c r="B69" s="1">
        <f t="shared" ref="B69:B85" si="5">26000-C69</f>
        <v>22506</v>
      </c>
      <c r="C69" s="1">
        <v>3494</v>
      </c>
      <c r="D69" s="15">
        <f t="shared" si="3"/>
        <v>26000</v>
      </c>
      <c r="E69" s="152">
        <f t="shared" si="4"/>
        <v>404958</v>
      </c>
    </row>
    <row r="70" spans="1:5" x14ac:dyDescent="0.25">
      <c r="A70" s="129">
        <v>45352</v>
      </c>
      <c r="B70" s="1">
        <f t="shared" si="5"/>
        <v>22687</v>
      </c>
      <c r="C70" s="1">
        <v>3313</v>
      </c>
      <c r="D70" s="15">
        <f t="shared" si="3"/>
        <v>26000</v>
      </c>
      <c r="E70" s="152">
        <f t="shared" si="4"/>
        <v>382452</v>
      </c>
    </row>
    <row r="71" spans="1:5" x14ac:dyDescent="0.25">
      <c r="A71" s="129">
        <v>45383</v>
      </c>
      <c r="B71" s="1">
        <f t="shared" si="5"/>
        <v>22869</v>
      </c>
      <c r="C71" s="1">
        <v>3131</v>
      </c>
      <c r="D71" s="15">
        <f t="shared" si="3"/>
        <v>26000</v>
      </c>
      <c r="E71" s="152">
        <f t="shared" si="4"/>
        <v>359765</v>
      </c>
    </row>
    <row r="72" spans="1:5" x14ac:dyDescent="0.25">
      <c r="A72" s="129">
        <v>45413</v>
      </c>
      <c r="B72" s="1">
        <f t="shared" si="5"/>
        <v>23053</v>
      </c>
      <c r="C72" s="1">
        <v>2947</v>
      </c>
      <c r="D72" s="15">
        <f t="shared" si="3"/>
        <v>26000</v>
      </c>
      <c r="E72" s="152">
        <f t="shared" si="4"/>
        <v>336896</v>
      </c>
    </row>
    <row r="73" spans="1:5" x14ac:dyDescent="0.25">
      <c r="A73" s="129">
        <v>45444</v>
      </c>
      <c r="B73" s="1">
        <f t="shared" si="5"/>
        <v>23239</v>
      </c>
      <c r="C73" s="1">
        <v>2761</v>
      </c>
      <c r="D73" s="15">
        <f t="shared" si="3"/>
        <v>26000</v>
      </c>
      <c r="E73" s="152">
        <f t="shared" si="4"/>
        <v>313843</v>
      </c>
    </row>
    <row r="74" spans="1:5" x14ac:dyDescent="0.25">
      <c r="A74" s="129">
        <v>45474</v>
      </c>
      <c r="B74" s="1">
        <f t="shared" si="5"/>
        <v>23426</v>
      </c>
      <c r="C74" s="1">
        <v>2574</v>
      </c>
      <c r="D74" s="15">
        <f t="shared" si="3"/>
        <v>26000</v>
      </c>
      <c r="E74" s="152">
        <f t="shared" si="4"/>
        <v>290604</v>
      </c>
    </row>
    <row r="75" spans="1:5" x14ac:dyDescent="0.25">
      <c r="A75" s="129">
        <v>45505</v>
      </c>
      <c r="B75" s="1">
        <f t="shared" si="5"/>
        <v>23615</v>
      </c>
      <c r="C75" s="1">
        <v>2385</v>
      </c>
      <c r="D75" s="15">
        <f t="shared" si="3"/>
        <v>26000</v>
      </c>
      <c r="E75" s="152">
        <f t="shared" si="4"/>
        <v>267178</v>
      </c>
    </row>
    <row r="76" spans="1:5" x14ac:dyDescent="0.25">
      <c r="A76" s="129">
        <v>45536</v>
      </c>
      <c r="B76" s="1">
        <f t="shared" si="5"/>
        <v>23805</v>
      </c>
      <c r="C76" s="1">
        <v>2195</v>
      </c>
      <c r="D76" s="15">
        <f t="shared" si="3"/>
        <v>26000</v>
      </c>
      <c r="E76" s="152">
        <f t="shared" si="4"/>
        <v>243563</v>
      </c>
    </row>
    <row r="77" spans="1:5" x14ac:dyDescent="0.25">
      <c r="A77" s="129">
        <v>45566</v>
      </c>
      <c r="B77" s="1">
        <f t="shared" si="5"/>
        <v>23999</v>
      </c>
      <c r="C77" s="1">
        <v>2001</v>
      </c>
      <c r="D77" s="15">
        <f t="shared" si="3"/>
        <v>26000</v>
      </c>
      <c r="E77" s="152">
        <f t="shared" si="4"/>
        <v>219758</v>
      </c>
    </row>
    <row r="78" spans="1:5" x14ac:dyDescent="0.25">
      <c r="A78" s="129">
        <v>45597</v>
      </c>
      <c r="B78" s="1">
        <f t="shared" si="5"/>
        <v>24189</v>
      </c>
      <c r="C78" s="1">
        <v>1811</v>
      </c>
      <c r="D78" s="15">
        <f t="shared" si="3"/>
        <v>26000</v>
      </c>
      <c r="E78" s="152">
        <f t="shared" si="4"/>
        <v>195759</v>
      </c>
    </row>
    <row r="79" spans="1:5" x14ac:dyDescent="0.25">
      <c r="A79" s="129">
        <v>45627</v>
      </c>
      <c r="B79" s="1">
        <f t="shared" si="5"/>
        <v>24384</v>
      </c>
      <c r="C79" s="1">
        <v>1616</v>
      </c>
      <c r="D79" s="15">
        <f t="shared" si="3"/>
        <v>26000</v>
      </c>
      <c r="E79" s="152">
        <f t="shared" si="4"/>
        <v>171570</v>
      </c>
    </row>
    <row r="80" spans="1:5" x14ac:dyDescent="0.25">
      <c r="A80" s="129">
        <v>45658</v>
      </c>
      <c r="B80" s="1">
        <f t="shared" si="5"/>
        <v>24581</v>
      </c>
      <c r="C80" s="1">
        <v>1419</v>
      </c>
      <c r="D80" s="15">
        <f t="shared" si="3"/>
        <v>26000</v>
      </c>
      <c r="E80" s="152">
        <f t="shared" si="4"/>
        <v>147186</v>
      </c>
    </row>
    <row r="81" spans="1:5" x14ac:dyDescent="0.25">
      <c r="A81" s="129">
        <v>45689</v>
      </c>
      <c r="B81" s="1">
        <f t="shared" si="5"/>
        <v>24778</v>
      </c>
      <c r="C81" s="1">
        <v>1222</v>
      </c>
      <c r="D81" s="15">
        <f t="shared" si="3"/>
        <v>26000</v>
      </c>
      <c r="E81" s="152">
        <f t="shared" si="4"/>
        <v>122605</v>
      </c>
    </row>
    <row r="82" spans="1:5" x14ac:dyDescent="0.25">
      <c r="A82" s="129">
        <v>45717</v>
      </c>
      <c r="B82" s="1">
        <f t="shared" si="5"/>
        <v>24978</v>
      </c>
      <c r="C82" s="1">
        <v>1022</v>
      </c>
      <c r="D82" s="15">
        <f t="shared" si="3"/>
        <v>26000</v>
      </c>
      <c r="E82" s="152">
        <f t="shared" si="4"/>
        <v>97827</v>
      </c>
    </row>
    <row r="83" spans="1:5" x14ac:dyDescent="0.25">
      <c r="A83" s="129">
        <v>45748</v>
      </c>
      <c r="B83" s="1">
        <f t="shared" si="5"/>
        <v>25179</v>
      </c>
      <c r="C83" s="1">
        <v>821</v>
      </c>
      <c r="D83" s="15">
        <f t="shared" si="3"/>
        <v>26000</v>
      </c>
      <c r="E83" s="152">
        <f t="shared" si="4"/>
        <v>72849</v>
      </c>
    </row>
    <row r="84" spans="1:5" x14ac:dyDescent="0.25">
      <c r="A84" s="129">
        <v>45778</v>
      </c>
      <c r="B84" s="1">
        <f t="shared" si="5"/>
        <v>25382</v>
      </c>
      <c r="C84" s="1">
        <v>618</v>
      </c>
      <c r="D84" s="15">
        <f t="shared" si="3"/>
        <v>26000</v>
      </c>
      <c r="E84" s="152">
        <f t="shared" si="4"/>
        <v>47670</v>
      </c>
    </row>
    <row r="85" spans="1:5" x14ac:dyDescent="0.25">
      <c r="A85" s="129">
        <v>45809</v>
      </c>
      <c r="B85" s="1">
        <f t="shared" si="5"/>
        <v>25586</v>
      </c>
      <c r="C85" s="1">
        <v>414</v>
      </c>
      <c r="D85" s="15">
        <f t="shared" si="3"/>
        <v>26000</v>
      </c>
      <c r="E85" s="152">
        <f t="shared" si="4"/>
        <v>22288</v>
      </c>
    </row>
    <row r="86" spans="1:5" x14ac:dyDescent="0.25">
      <c r="A86" s="129">
        <v>45839</v>
      </c>
      <c r="B86" s="1">
        <f>26000-C86</f>
        <v>25792</v>
      </c>
      <c r="C86" s="1">
        <v>208</v>
      </c>
      <c r="D86" s="15">
        <f t="shared" si="3"/>
        <v>26000</v>
      </c>
      <c r="E86" s="152">
        <f t="shared" si="4"/>
        <v>-3298</v>
      </c>
    </row>
  </sheetData>
  <sortState xmlns:xlrd2="http://schemas.microsoft.com/office/spreadsheetml/2017/richdata2" ref="G13:L25">
    <sortCondition ref="G2:G14"/>
  </sortState>
  <mergeCells count="1">
    <mergeCell ref="N10:O10"/>
  </mergeCells>
  <pageMargins left="0.7" right="0.7" top="0.75" bottom="0.75" header="0.3" footer="0.3"/>
  <pageSetup orientation="portrait" r:id="rId1"/>
  <ignoredErrors>
    <ignoredError sqref="D3:D86" formulaRange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0"/>
  <dimension ref="A1:Y156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9" sqref="G9"/>
    </sheetView>
  </sheetViews>
  <sheetFormatPr defaultRowHeight="15" x14ac:dyDescent="0.25"/>
  <cols>
    <col min="1" max="1" width="8.42578125" bestFit="1" customWidth="1"/>
    <col min="2" max="2" width="7.42578125" bestFit="1" customWidth="1"/>
    <col min="3" max="3" width="11.140625" bestFit="1" customWidth="1"/>
    <col min="4" max="4" width="9" bestFit="1" customWidth="1"/>
    <col min="5" max="5" width="11.42578125" bestFit="1" customWidth="1"/>
    <col min="6" max="7" width="12.7109375" bestFit="1" customWidth="1"/>
    <col min="8" max="8" width="18.28515625" bestFit="1" customWidth="1"/>
    <col min="9" max="9" width="12.7109375" bestFit="1" customWidth="1"/>
    <col min="10" max="10" width="11.28515625" customWidth="1"/>
    <col min="11" max="11" width="19.5703125" bestFit="1" customWidth="1"/>
    <col min="12" max="12" width="27.5703125" bestFit="1" customWidth="1"/>
    <col min="13" max="14" width="12.7109375" bestFit="1" customWidth="1"/>
    <col min="16" max="16" width="8.42578125" bestFit="1" customWidth="1"/>
    <col min="17" max="17" width="12.7109375" bestFit="1" customWidth="1"/>
    <col min="18" max="18" width="10" bestFit="1" customWidth="1"/>
    <col min="19" max="19" width="7.85546875" bestFit="1" customWidth="1"/>
    <col min="20" max="20" width="11.42578125" bestFit="1" customWidth="1"/>
    <col min="21" max="22" width="9" bestFit="1" customWidth="1"/>
    <col min="24" max="24" width="17.42578125" bestFit="1" customWidth="1"/>
    <col min="25" max="25" width="12.7109375" bestFit="1" customWidth="1"/>
  </cols>
  <sheetData>
    <row r="1" spans="1:25" ht="15.75" thickBot="1" x14ac:dyDescent="0.3">
      <c r="A1" s="17" t="s">
        <v>352</v>
      </c>
      <c r="B1" s="17"/>
      <c r="C1" s="15">
        <v>3530000</v>
      </c>
      <c r="D1" s="15"/>
      <c r="E1" s="15" t="s">
        <v>172</v>
      </c>
      <c r="F1" s="1">
        <v>75437</v>
      </c>
      <c r="G1" s="1"/>
      <c r="H1" s="1"/>
      <c r="I1" s="1"/>
      <c r="K1" s="711" t="s">
        <v>1186</v>
      </c>
      <c r="L1" s="712"/>
      <c r="P1" s="17" t="s">
        <v>352</v>
      </c>
      <c r="Q1" s="17"/>
      <c r="R1" s="15">
        <v>765000</v>
      </c>
      <c r="S1" s="713" t="s">
        <v>1187</v>
      </c>
      <c r="T1" s="713"/>
      <c r="U1" s="713"/>
      <c r="V1" s="713"/>
    </row>
    <row r="2" spans="1:25" x14ac:dyDescent="0.25">
      <c r="A2" s="17"/>
      <c r="B2" s="17"/>
      <c r="C2" s="38" t="s">
        <v>352</v>
      </c>
      <c r="D2" s="38" t="s">
        <v>17</v>
      </c>
      <c r="E2" s="38" t="s">
        <v>499</v>
      </c>
      <c r="F2" s="38" t="s">
        <v>18</v>
      </c>
      <c r="G2" s="38" t="s">
        <v>15</v>
      </c>
      <c r="H2" s="38" t="s">
        <v>1188</v>
      </c>
      <c r="I2" s="447" t="s">
        <v>1189</v>
      </c>
      <c r="J2" s="134"/>
      <c r="K2" s="137" t="s">
        <v>1190</v>
      </c>
      <c r="L2" s="138">
        <f>SUM(F3:G62)</f>
        <v>4526220</v>
      </c>
      <c r="P2" s="17"/>
      <c r="Q2" s="17"/>
      <c r="R2" s="38" t="s">
        <v>352</v>
      </c>
      <c r="S2" s="38" t="s">
        <v>17</v>
      </c>
      <c r="T2" s="38" t="s">
        <v>499</v>
      </c>
      <c r="U2" s="38" t="s">
        <v>18</v>
      </c>
      <c r="V2" s="38" t="s">
        <v>15</v>
      </c>
      <c r="W2" s="134"/>
      <c r="X2" s="135" t="s">
        <v>1160</v>
      </c>
      <c r="Y2" s="136">
        <f>SUM(U3:V62)</f>
        <v>999160</v>
      </c>
    </row>
    <row r="3" spans="1:25" x14ac:dyDescent="0.25">
      <c r="A3" s="17" t="s">
        <v>1191</v>
      </c>
      <c r="B3" s="28">
        <v>44599</v>
      </c>
      <c r="C3" s="35">
        <v>45284.800000000003</v>
      </c>
      <c r="D3" s="35">
        <f>F3+G3-C3</f>
        <v>30152.199999999997</v>
      </c>
      <c r="E3" s="35">
        <v>3484715.2</v>
      </c>
      <c r="F3" s="35">
        <v>0</v>
      </c>
      <c r="G3" s="35">
        <f>$F$1-F3</f>
        <v>75437</v>
      </c>
      <c r="H3" s="35"/>
      <c r="I3" s="35"/>
      <c r="J3" s="11"/>
      <c r="K3" s="137" t="s">
        <v>1192</v>
      </c>
      <c r="L3" s="138">
        <f>SUM(F3:F62)</f>
        <v>3620976</v>
      </c>
      <c r="P3" s="122" t="s">
        <v>1191</v>
      </c>
      <c r="Q3" s="123">
        <v>43252</v>
      </c>
      <c r="R3" s="118">
        <v>12186</v>
      </c>
      <c r="S3" s="118">
        <v>4542</v>
      </c>
      <c r="T3" s="118">
        <v>752814</v>
      </c>
      <c r="U3" s="118">
        <v>0</v>
      </c>
      <c r="V3" s="118">
        <f>16728-U3</f>
        <v>16728</v>
      </c>
      <c r="W3" s="11"/>
      <c r="X3" s="137" t="s">
        <v>1192</v>
      </c>
      <c r="Y3" s="138">
        <f>SUM(U3:U62)</f>
        <v>698056</v>
      </c>
    </row>
    <row r="4" spans="1:25" x14ac:dyDescent="0.25">
      <c r="A4" s="17" t="s">
        <v>1193</v>
      </c>
      <c r="B4" s="28">
        <v>44627</v>
      </c>
      <c r="C4" s="35">
        <v>45671.78</v>
      </c>
      <c r="D4" s="35">
        <f>F4+G4-C4</f>
        <v>29765.22</v>
      </c>
      <c r="E4" s="35">
        <f>E3-C4</f>
        <v>3439043.4200000004</v>
      </c>
      <c r="F4" s="35">
        <v>0</v>
      </c>
      <c r="G4" s="35">
        <f t="shared" ref="G4:G62" si="0">$F$1-F4</f>
        <v>75437</v>
      </c>
      <c r="H4" s="35"/>
      <c r="I4" s="35"/>
      <c r="J4" s="11"/>
      <c r="K4" s="137" t="s">
        <v>1194</v>
      </c>
      <c r="L4" s="138">
        <f>SUM(C3:C62)</f>
        <v>3529999.9999999995</v>
      </c>
      <c r="P4" s="122" t="s">
        <v>1193</v>
      </c>
      <c r="Q4" s="123">
        <v>43282</v>
      </c>
      <c r="R4" s="118">
        <v>9670</v>
      </c>
      <c r="S4" s="118">
        <v>7058</v>
      </c>
      <c r="T4" s="118">
        <f>T3-R4</f>
        <v>743144</v>
      </c>
      <c r="U4" s="118">
        <v>0</v>
      </c>
      <c r="V4" s="118">
        <f t="shared" ref="V4:V61" si="1">16728-U4</f>
        <v>16728</v>
      </c>
      <c r="W4" s="11"/>
      <c r="X4" s="137"/>
      <c r="Y4" s="139"/>
    </row>
    <row r="5" spans="1:25" x14ac:dyDescent="0.25">
      <c r="A5" s="17" t="s">
        <v>1195</v>
      </c>
      <c r="B5" s="28">
        <v>44658</v>
      </c>
      <c r="C5" s="35">
        <v>46061.89</v>
      </c>
      <c r="D5" s="35">
        <f t="shared" ref="D5:D11" si="2">F5+G5-C5</f>
        <v>29375.11</v>
      </c>
      <c r="E5" s="35">
        <f t="shared" ref="E5:E62" si="3">E4-C5</f>
        <v>3392981.5300000003</v>
      </c>
      <c r="F5" s="35">
        <v>0</v>
      </c>
      <c r="G5" s="35">
        <f t="shared" si="0"/>
        <v>75437</v>
      </c>
      <c r="H5" s="35"/>
      <c r="I5" s="35"/>
      <c r="J5" s="11"/>
      <c r="K5" s="137" t="s">
        <v>1196</v>
      </c>
      <c r="L5" s="138">
        <f>L2-L3</f>
        <v>905244</v>
      </c>
      <c r="P5" s="122" t="s">
        <v>1195</v>
      </c>
      <c r="Q5" s="123">
        <v>43313</v>
      </c>
      <c r="R5" s="118">
        <v>9761</v>
      </c>
      <c r="S5" s="118">
        <v>6967</v>
      </c>
      <c r="T5" s="118">
        <f t="shared" ref="T5:T50" si="4">T4-R5</f>
        <v>733383</v>
      </c>
      <c r="U5" s="118">
        <v>0</v>
      </c>
      <c r="V5" s="118">
        <f t="shared" si="1"/>
        <v>16728</v>
      </c>
      <c r="W5" s="11"/>
      <c r="X5" s="137" t="s">
        <v>1196</v>
      </c>
      <c r="Y5" s="138">
        <f>SUM(V3:V62)</f>
        <v>301104</v>
      </c>
    </row>
    <row r="6" spans="1:25" x14ac:dyDescent="0.25">
      <c r="A6" s="17" t="s">
        <v>1197</v>
      </c>
      <c r="B6" s="28">
        <v>44688</v>
      </c>
      <c r="C6" s="35">
        <v>46455.34</v>
      </c>
      <c r="D6" s="35">
        <f t="shared" si="2"/>
        <v>28981.660000000003</v>
      </c>
      <c r="E6" s="35">
        <f t="shared" si="3"/>
        <v>3346526.1900000004</v>
      </c>
      <c r="F6" s="35">
        <v>0</v>
      </c>
      <c r="G6" s="35">
        <f t="shared" si="0"/>
        <v>75437</v>
      </c>
      <c r="H6" s="35"/>
      <c r="I6" s="35"/>
      <c r="J6" s="11"/>
      <c r="K6" s="137" t="s">
        <v>1198</v>
      </c>
      <c r="L6" s="138">
        <f>SUM(D3:D62)</f>
        <v>1004811.3400000003</v>
      </c>
      <c r="N6" s="11"/>
      <c r="P6" s="122" t="s">
        <v>1197</v>
      </c>
      <c r="Q6" s="123">
        <v>43344</v>
      </c>
      <c r="R6" s="118">
        <v>9853</v>
      </c>
      <c r="S6" s="118">
        <f t="shared" ref="S6:S11" si="5">U6+V6-R6</f>
        <v>6875</v>
      </c>
      <c r="T6" s="118">
        <f t="shared" si="4"/>
        <v>723530</v>
      </c>
      <c r="U6" s="118">
        <v>0</v>
      </c>
      <c r="V6" s="118">
        <f t="shared" si="1"/>
        <v>16728</v>
      </c>
      <c r="W6" s="11"/>
      <c r="X6" s="137" t="s">
        <v>1198</v>
      </c>
      <c r="Y6" s="138">
        <f>SUM(S3:S62)</f>
        <v>234160</v>
      </c>
    </row>
    <row r="7" spans="1:25" ht="15.75" thickBot="1" x14ac:dyDescent="0.3">
      <c r="A7" s="17" t="s">
        <v>1199</v>
      </c>
      <c r="B7" s="28">
        <v>44719</v>
      </c>
      <c r="C7" s="35">
        <v>46852.14</v>
      </c>
      <c r="D7" s="35">
        <f t="shared" si="2"/>
        <v>28584.86</v>
      </c>
      <c r="E7" s="35">
        <f t="shared" si="3"/>
        <v>3299674.0500000003</v>
      </c>
      <c r="F7" s="35">
        <v>0</v>
      </c>
      <c r="G7" s="35">
        <f t="shared" si="0"/>
        <v>75437</v>
      </c>
      <c r="H7" s="35"/>
      <c r="I7" s="35"/>
      <c r="J7" s="11"/>
      <c r="K7" s="140" t="s">
        <v>1200</v>
      </c>
      <c r="L7" s="145">
        <f>L6/60</f>
        <v>16746.855666666674</v>
      </c>
      <c r="P7" s="122" t="s">
        <v>1199</v>
      </c>
      <c r="Q7" s="123">
        <v>43374</v>
      </c>
      <c r="R7" s="118">
        <v>9945</v>
      </c>
      <c r="S7" s="118">
        <f t="shared" si="5"/>
        <v>6783</v>
      </c>
      <c r="T7" s="118">
        <f t="shared" si="4"/>
        <v>713585</v>
      </c>
      <c r="U7" s="118">
        <v>0</v>
      </c>
      <c r="V7" s="118">
        <f t="shared" si="1"/>
        <v>16728</v>
      </c>
      <c r="W7" s="11"/>
      <c r="X7" s="137" t="s">
        <v>1200</v>
      </c>
      <c r="Y7" s="139">
        <f>Y6/48</f>
        <v>4878.333333333333</v>
      </c>
    </row>
    <row r="8" spans="1:25" ht="15.75" thickBot="1" x14ac:dyDescent="0.3">
      <c r="A8" s="17" t="s">
        <v>1201</v>
      </c>
      <c r="B8" s="28">
        <v>44749</v>
      </c>
      <c r="C8" s="35">
        <v>47252.34</v>
      </c>
      <c r="D8" s="35">
        <f t="shared" si="2"/>
        <v>28184.660000000003</v>
      </c>
      <c r="E8" s="35">
        <f t="shared" si="3"/>
        <v>3252421.7100000004</v>
      </c>
      <c r="F8" s="35">
        <v>0</v>
      </c>
      <c r="G8" s="35">
        <f t="shared" si="0"/>
        <v>75437</v>
      </c>
      <c r="H8" s="35"/>
      <c r="I8" s="35"/>
      <c r="J8" s="11"/>
      <c r="P8" s="122" t="s">
        <v>1201</v>
      </c>
      <c r="Q8" s="123">
        <v>43405</v>
      </c>
      <c r="R8" s="118">
        <v>10038</v>
      </c>
      <c r="S8" s="118">
        <f t="shared" si="5"/>
        <v>6690</v>
      </c>
      <c r="T8" s="118">
        <f t="shared" si="4"/>
        <v>703547</v>
      </c>
      <c r="U8" s="118">
        <v>0</v>
      </c>
      <c r="V8" s="118">
        <f t="shared" si="1"/>
        <v>16728</v>
      </c>
      <c r="W8" s="11"/>
      <c r="X8" s="140" t="s">
        <v>1202</v>
      </c>
      <c r="Y8" s="141">
        <f>Y2-Y6</f>
        <v>765000</v>
      </c>
    </row>
    <row r="9" spans="1:25" x14ac:dyDescent="0.25">
      <c r="A9" s="17" t="s">
        <v>1203</v>
      </c>
      <c r="B9" s="28">
        <v>44780</v>
      </c>
      <c r="C9" s="35">
        <v>47655.95</v>
      </c>
      <c r="D9" s="35">
        <f t="shared" si="2"/>
        <v>27781.050000000003</v>
      </c>
      <c r="E9" s="35">
        <f t="shared" si="3"/>
        <v>3204765.7600000002</v>
      </c>
      <c r="F9" s="35">
        <v>0</v>
      </c>
      <c r="G9" s="35">
        <f t="shared" si="0"/>
        <v>75437</v>
      </c>
      <c r="H9" s="35"/>
      <c r="I9" s="35"/>
      <c r="J9" s="11"/>
      <c r="L9" t="s">
        <v>1204</v>
      </c>
      <c r="P9" s="122" t="s">
        <v>1203</v>
      </c>
      <c r="Q9" s="123">
        <v>43435</v>
      </c>
      <c r="R9" s="118">
        <v>10132</v>
      </c>
      <c r="S9" s="118">
        <f t="shared" si="5"/>
        <v>6596</v>
      </c>
      <c r="T9" s="118">
        <f t="shared" si="4"/>
        <v>693415</v>
      </c>
      <c r="U9" s="118">
        <v>0</v>
      </c>
      <c r="V9" s="118">
        <f t="shared" si="1"/>
        <v>16728</v>
      </c>
      <c r="W9" s="11"/>
    </row>
    <row r="10" spans="1:25" x14ac:dyDescent="0.25">
      <c r="A10" s="17" t="s">
        <v>1205</v>
      </c>
      <c r="B10" s="28">
        <v>44811</v>
      </c>
      <c r="C10" s="35">
        <v>48063.01</v>
      </c>
      <c r="D10" s="35">
        <f t="shared" si="2"/>
        <v>27373.989999999998</v>
      </c>
      <c r="E10" s="35">
        <f t="shared" si="3"/>
        <v>3156702.7500000005</v>
      </c>
      <c r="F10" s="35">
        <v>0</v>
      </c>
      <c r="G10" s="35">
        <f t="shared" si="0"/>
        <v>75437</v>
      </c>
      <c r="H10" s="35"/>
      <c r="I10" s="35"/>
      <c r="J10" s="11"/>
      <c r="K10" s="26" t="s">
        <v>1206</v>
      </c>
      <c r="L10" s="11">
        <f>SUM(D3:D13)</f>
        <v>309843.44</v>
      </c>
      <c r="N10">
        <v>15.25</v>
      </c>
      <c r="P10" s="122" t="s">
        <v>1205</v>
      </c>
      <c r="Q10" s="123">
        <v>43466</v>
      </c>
      <c r="R10" s="118">
        <v>10227</v>
      </c>
      <c r="S10" s="118">
        <f t="shared" si="5"/>
        <v>6501</v>
      </c>
      <c r="T10" s="118">
        <f t="shared" si="4"/>
        <v>683188</v>
      </c>
      <c r="U10" s="118">
        <v>0</v>
      </c>
      <c r="V10" s="118">
        <f t="shared" si="1"/>
        <v>16728</v>
      </c>
      <c r="W10" s="11"/>
    </row>
    <row r="11" spans="1:25" x14ac:dyDescent="0.25">
      <c r="A11" s="17" t="s">
        <v>1207</v>
      </c>
      <c r="B11" s="28">
        <v>44841</v>
      </c>
      <c r="C11" s="35">
        <v>48473.55</v>
      </c>
      <c r="D11" s="35">
        <f t="shared" si="2"/>
        <v>26963.449999999997</v>
      </c>
      <c r="E11" s="35">
        <f t="shared" si="3"/>
        <v>3108229.2000000007</v>
      </c>
      <c r="F11" s="35">
        <v>0</v>
      </c>
      <c r="G11" s="35">
        <f t="shared" si="0"/>
        <v>75437</v>
      </c>
      <c r="H11" s="35"/>
      <c r="I11" s="35"/>
      <c r="J11" s="11"/>
      <c r="L11">
        <f>L10/11</f>
        <v>28167.585454545453</v>
      </c>
      <c r="N11">
        <f>N10/12</f>
        <v>1.2708333333333333</v>
      </c>
      <c r="P11" s="122" t="s">
        <v>1207</v>
      </c>
      <c r="Q11" s="123">
        <v>43497</v>
      </c>
      <c r="R11" s="118">
        <v>10323</v>
      </c>
      <c r="S11" s="118">
        <f t="shared" si="5"/>
        <v>6405</v>
      </c>
      <c r="T11" s="118">
        <f t="shared" si="4"/>
        <v>672865</v>
      </c>
      <c r="U11" s="118">
        <v>0</v>
      </c>
      <c r="V11" s="118">
        <f t="shared" si="1"/>
        <v>16728</v>
      </c>
      <c r="W11" s="11"/>
    </row>
    <row r="12" spans="1:25" x14ac:dyDescent="0.25">
      <c r="A12" s="17" t="s">
        <v>1208</v>
      </c>
      <c r="B12" s="28">
        <v>44872</v>
      </c>
      <c r="C12" s="35">
        <v>48887.59</v>
      </c>
      <c r="D12" s="35">
        <f>F12+G12-C12</f>
        <v>26549.410000000003</v>
      </c>
      <c r="E12" s="35">
        <f t="shared" si="3"/>
        <v>3059341.6100000008</v>
      </c>
      <c r="F12" s="35">
        <v>0</v>
      </c>
      <c r="G12" s="35">
        <f t="shared" si="0"/>
        <v>75437</v>
      </c>
      <c r="H12" s="35"/>
      <c r="I12" s="35"/>
      <c r="J12" s="11"/>
      <c r="N12">
        <f>E14*N11/100</f>
        <v>37620.607775000011</v>
      </c>
      <c r="P12" s="122" t="s">
        <v>1208</v>
      </c>
      <c r="Q12" s="123">
        <v>43525</v>
      </c>
      <c r="R12" s="118">
        <v>10420</v>
      </c>
      <c r="S12" s="118">
        <f>U12+V12-R12</f>
        <v>6308</v>
      </c>
      <c r="T12" s="118">
        <f t="shared" si="4"/>
        <v>662445</v>
      </c>
      <c r="U12" s="118">
        <v>0</v>
      </c>
      <c r="V12" s="118">
        <f t="shared" si="1"/>
        <v>16728</v>
      </c>
      <c r="W12" s="11"/>
    </row>
    <row r="13" spans="1:25" ht="15.75" thickBot="1" x14ac:dyDescent="0.3">
      <c r="A13" s="17" t="s">
        <v>1209</v>
      </c>
      <c r="B13" s="28">
        <v>44902</v>
      </c>
      <c r="C13" s="35">
        <v>49305.17</v>
      </c>
      <c r="D13" s="35">
        <f t="shared" ref="D13:D50" si="6">F13+G13-C13</f>
        <v>26131.83</v>
      </c>
      <c r="E13" s="35">
        <f t="shared" si="3"/>
        <v>3010036.4400000009</v>
      </c>
      <c r="F13" s="35">
        <v>0</v>
      </c>
      <c r="G13" s="35">
        <f t="shared" si="0"/>
        <v>75437</v>
      </c>
      <c r="H13" s="35"/>
      <c r="I13" s="35"/>
      <c r="J13" s="11"/>
      <c r="P13" s="122" t="s">
        <v>1209</v>
      </c>
      <c r="Q13" s="123">
        <v>43556</v>
      </c>
      <c r="R13" s="118">
        <v>10518</v>
      </c>
      <c r="S13" s="118">
        <f t="shared" ref="S13:S50" si="7">U13+V13-R13</f>
        <v>6210</v>
      </c>
      <c r="T13" s="118">
        <f t="shared" si="4"/>
        <v>651927</v>
      </c>
      <c r="U13" s="118">
        <v>0</v>
      </c>
      <c r="V13" s="118">
        <f t="shared" si="1"/>
        <v>16728</v>
      </c>
      <c r="W13" s="11"/>
    </row>
    <row r="14" spans="1:25" x14ac:dyDescent="0.25">
      <c r="A14" s="17" t="s">
        <v>1210</v>
      </c>
      <c r="B14" s="28">
        <v>44933</v>
      </c>
      <c r="C14" s="445">
        <v>49726.32</v>
      </c>
      <c r="D14" s="35">
        <f t="shared" si="6"/>
        <v>25710.68</v>
      </c>
      <c r="E14" s="35">
        <f t="shared" si="3"/>
        <v>2960310.120000001</v>
      </c>
      <c r="F14" s="35">
        <v>0</v>
      </c>
      <c r="G14" s="35">
        <f t="shared" si="0"/>
        <v>75437</v>
      </c>
      <c r="H14" s="445"/>
      <c r="I14" s="445"/>
      <c r="J14" s="11"/>
      <c r="K14" s="711" t="s">
        <v>1211</v>
      </c>
      <c r="L14" s="712"/>
      <c r="P14" s="122" t="s">
        <v>1210</v>
      </c>
      <c r="Q14" s="123">
        <v>43586</v>
      </c>
      <c r="R14" s="118">
        <v>10616</v>
      </c>
      <c r="S14" s="118">
        <f t="shared" si="7"/>
        <v>6112</v>
      </c>
      <c r="T14" s="118">
        <f t="shared" si="4"/>
        <v>641311</v>
      </c>
      <c r="U14" s="118">
        <v>0</v>
      </c>
      <c r="V14" s="118">
        <f t="shared" si="1"/>
        <v>16728</v>
      </c>
      <c r="W14" s="11"/>
      <c r="X14" s="88" t="s">
        <v>838</v>
      </c>
      <c r="Y14" s="88"/>
    </row>
    <row r="15" spans="1:25" x14ac:dyDescent="0.25">
      <c r="A15" s="17" t="s">
        <v>1212</v>
      </c>
      <c r="B15" s="28">
        <v>44964</v>
      </c>
      <c r="C15" s="15">
        <v>50151.07</v>
      </c>
      <c r="D15" s="15">
        <f t="shared" si="6"/>
        <v>25285.93</v>
      </c>
      <c r="E15" s="15">
        <f t="shared" si="3"/>
        <v>2910159.0500000012</v>
      </c>
      <c r="F15" s="15">
        <v>75437</v>
      </c>
      <c r="G15" s="15">
        <f t="shared" si="0"/>
        <v>0</v>
      </c>
      <c r="H15" s="446">
        <f t="shared" ref="H15:H62" si="8">(E15*3/100)+((E15*3/100)*18/100)</f>
        <v>103019.63037000006</v>
      </c>
      <c r="I15" s="15">
        <f>E15*25/100</f>
        <v>727539.7625000003</v>
      </c>
      <c r="J15" s="11"/>
      <c r="K15" s="137" t="s">
        <v>1190</v>
      </c>
      <c r="L15" s="138">
        <f>SUM(F15:G118)</f>
        <v>3641456</v>
      </c>
      <c r="P15" s="122" t="s">
        <v>1212</v>
      </c>
      <c r="Q15" s="123">
        <v>43617</v>
      </c>
      <c r="R15" s="118">
        <v>10716</v>
      </c>
      <c r="S15" s="118">
        <f t="shared" si="7"/>
        <v>6012</v>
      </c>
      <c r="T15" s="118">
        <f t="shared" si="4"/>
        <v>630595</v>
      </c>
      <c r="U15" s="118">
        <v>0</v>
      </c>
      <c r="V15" s="118">
        <f t="shared" si="1"/>
        <v>16728</v>
      </c>
      <c r="W15" s="11"/>
      <c r="X15" s="5" t="s">
        <v>840</v>
      </c>
      <c r="Y15" s="5">
        <v>14.75</v>
      </c>
    </row>
    <row r="16" spans="1:25" x14ac:dyDescent="0.25">
      <c r="A16" s="17" t="s">
        <v>1213</v>
      </c>
      <c r="B16" s="28">
        <v>44992</v>
      </c>
      <c r="C16" s="15">
        <v>50579.44</v>
      </c>
      <c r="D16" s="15">
        <f t="shared" si="6"/>
        <v>24857.559999999998</v>
      </c>
      <c r="E16" s="15">
        <f t="shared" si="3"/>
        <v>2859579.6100000013</v>
      </c>
      <c r="F16" s="15">
        <v>75437</v>
      </c>
      <c r="G16" s="15">
        <f t="shared" si="0"/>
        <v>0</v>
      </c>
      <c r="H16" s="446">
        <f t="shared" si="8"/>
        <v>101229.11819400004</v>
      </c>
      <c r="I16" s="15"/>
      <c r="J16" s="11"/>
      <c r="K16" s="137" t="s">
        <v>1192</v>
      </c>
      <c r="L16" s="138">
        <f>SUM(F15:F118)</f>
        <v>3627849.3333333335</v>
      </c>
      <c r="P16" s="122" t="s">
        <v>1213</v>
      </c>
      <c r="Q16" s="123">
        <v>43647</v>
      </c>
      <c r="R16" s="118">
        <v>10816</v>
      </c>
      <c r="S16" s="118">
        <f t="shared" si="7"/>
        <v>5912</v>
      </c>
      <c r="T16" s="118">
        <f t="shared" si="4"/>
        <v>619779</v>
      </c>
      <c r="U16" s="118">
        <v>0</v>
      </c>
      <c r="V16" s="118">
        <f t="shared" si="1"/>
        <v>16728</v>
      </c>
      <c r="W16" s="11"/>
      <c r="X16" s="95" t="s">
        <v>843</v>
      </c>
      <c r="Y16" s="5">
        <f>Y15/12</f>
        <v>1.2291666666666667</v>
      </c>
    </row>
    <row r="17" spans="1:25" x14ac:dyDescent="0.25">
      <c r="A17" s="17" t="s">
        <v>1214</v>
      </c>
      <c r="B17" s="28">
        <v>45023</v>
      </c>
      <c r="C17" s="15">
        <v>51011.47</v>
      </c>
      <c r="D17" s="15">
        <f t="shared" si="6"/>
        <v>24425.53</v>
      </c>
      <c r="E17" s="15">
        <f t="shared" si="3"/>
        <v>2808568.1400000011</v>
      </c>
      <c r="F17" s="15">
        <v>75437</v>
      </c>
      <c r="G17" s="15">
        <f t="shared" si="0"/>
        <v>0</v>
      </c>
      <c r="H17" s="446">
        <f t="shared" si="8"/>
        <v>99423.312156000044</v>
      </c>
      <c r="I17" s="15"/>
      <c r="J17" s="11"/>
      <c r="K17" s="137" t="s">
        <v>1194</v>
      </c>
      <c r="L17" s="138">
        <f>SUM(C15:C118)</f>
        <v>3210310.1199999996</v>
      </c>
      <c r="P17" s="122" t="s">
        <v>1214</v>
      </c>
      <c r="Q17" s="123">
        <v>43678</v>
      </c>
      <c r="R17" s="118">
        <v>10918</v>
      </c>
      <c r="S17" s="118">
        <f t="shared" si="7"/>
        <v>5810</v>
      </c>
      <c r="T17" s="118">
        <f t="shared" si="4"/>
        <v>608861</v>
      </c>
      <c r="U17" s="118">
        <v>0</v>
      </c>
      <c r="V17" s="118">
        <f t="shared" si="1"/>
        <v>16728</v>
      </c>
      <c r="W17" s="11"/>
      <c r="X17" s="95" t="s">
        <v>846</v>
      </c>
      <c r="Y17" s="5">
        <f>Y16/30</f>
        <v>4.0972222222222222E-2</v>
      </c>
    </row>
    <row r="18" spans="1:25" x14ac:dyDescent="0.25">
      <c r="A18" s="17" t="s">
        <v>1215</v>
      </c>
      <c r="B18" s="28">
        <v>45053</v>
      </c>
      <c r="C18" s="15">
        <v>51447.19</v>
      </c>
      <c r="D18" s="15">
        <f t="shared" si="6"/>
        <v>23989.809999999998</v>
      </c>
      <c r="E18" s="15">
        <f t="shared" si="3"/>
        <v>2757120.9500000011</v>
      </c>
      <c r="F18" s="15">
        <v>75437</v>
      </c>
      <c r="G18" s="15">
        <f t="shared" si="0"/>
        <v>0</v>
      </c>
      <c r="H18" s="446">
        <f t="shared" si="8"/>
        <v>97602.081630000044</v>
      </c>
      <c r="I18" s="15"/>
      <c r="J18" s="11"/>
      <c r="K18" s="137" t="s">
        <v>1216</v>
      </c>
      <c r="L18" s="138">
        <f>L15-L16</f>
        <v>13606.666666666511</v>
      </c>
      <c r="P18" s="122" t="s">
        <v>1215</v>
      </c>
      <c r="Q18" s="123">
        <v>43709</v>
      </c>
      <c r="R18" s="118">
        <v>11020</v>
      </c>
      <c r="S18" s="118">
        <f t="shared" si="7"/>
        <v>5708</v>
      </c>
      <c r="T18" s="118">
        <f t="shared" si="4"/>
        <v>597841</v>
      </c>
      <c r="U18" s="118">
        <v>0</v>
      </c>
      <c r="V18" s="118">
        <f t="shared" si="1"/>
        <v>16728</v>
      </c>
      <c r="W18" s="11"/>
      <c r="X18" s="85" t="s">
        <v>352</v>
      </c>
      <c r="Y18" s="5">
        <v>703547</v>
      </c>
    </row>
    <row r="19" spans="1:25" x14ac:dyDescent="0.25">
      <c r="A19" s="17" t="s">
        <v>1217</v>
      </c>
      <c r="B19" s="28">
        <v>45084</v>
      </c>
      <c r="C19" s="15">
        <v>51886.64</v>
      </c>
      <c r="D19" s="15">
        <f t="shared" si="6"/>
        <v>23550.36</v>
      </c>
      <c r="E19" s="15">
        <f t="shared" si="3"/>
        <v>2705234.310000001</v>
      </c>
      <c r="F19" s="15">
        <v>75437</v>
      </c>
      <c r="G19" s="15">
        <f t="shared" si="0"/>
        <v>0</v>
      </c>
      <c r="H19" s="446">
        <f t="shared" si="8"/>
        <v>95765.294574000043</v>
      </c>
      <c r="I19" s="15"/>
      <c r="J19" s="11"/>
      <c r="K19" s="137" t="s">
        <v>1198</v>
      </c>
      <c r="L19" s="138">
        <f>SUM(D15:D118)</f>
        <v>672257.2200000002</v>
      </c>
      <c r="P19" s="122" t="s">
        <v>1217</v>
      </c>
      <c r="Q19" s="123">
        <v>43739</v>
      </c>
      <c r="R19" s="118">
        <v>11123</v>
      </c>
      <c r="S19" s="118">
        <f t="shared" si="7"/>
        <v>5605</v>
      </c>
      <c r="T19" s="118">
        <f t="shared" si="4"/>
        <v>586718</v>
      </c>
      <c r="U19" s="118">
        <v>0</v>
      </c>
      <c r="V19" s="118">
        <f t="shared" si="1"/>
        <v>16728</v>
      </c>
      <c r="W19" s="11"/>
      <c r="X19" s="85" t="s">
        <v>849</v>
      </c>
      <c r="Y19" s="5">
        <v>30</v>
      </c>
    </row>
    <row r="20" spans="1:25" ht="15.75" thickBot="1" x14ac:dyDescent="0.3">
      <c r="A20" s="17" t="s">
        <v>1218</v>
      </c>
      <c r="B20" s="28">
        <v>45114</v>
      </c>
      <c r="C20" s="15">
        <v>52329.84</v>
      </c>
      <c r="D20" s="15">
        <f t="shared" si="6"/>
        <v>23107.160000000003</v>
      </c>
      <c r="E20" s="15">
        <f t="shared" si="3"/>
        <v>2652904.4700000011</v>
      </c>
      <c r="F20" s="15">
        <v>75437</v>
      </c>
      <c r="G20" s="15">
        <f t="shared" si="0"/>
        <v>0</v>
      </c>
      <c r="H20" s="446">
        <f t="shared" si="8"/>
        <v>93912.818238000051</v>
      </c>
      <c r="I20" s="15"/>
      <c r="J20" s="11"/>
      <c r="K20" s="140" t="s">
        <v>1200</v>
      </c>
      <c r="L20" s="145">
        <f>L19/48</f>
        <v>14005.358750000005</v>
      </c>
      <c r="P20" s="122" t="s">
        <v>1218</v>
      </c>
      <c r="Q20" s="123">
        <v>43770</v>
      </c>
      <c r="R20" s="118">
        <v>11228</v>
      </c>
      <c r="S20" s="118">
        <f t="shared" si="7"/>
        <v>5500</v>
      </c>
      <c r="T20" s="118">
        <f t="shared" si="4"/>
        <v>575490</v>
      </c>
      <c r="U20" s="118">
        <v>0</v>
      </c>
      <c r="V20" s="118">
        <f t="shared" si="1"/>
        <v>16728</v>
      </c>
      <c r="W20" s="11"/>
      <c r="X20" s="95" t="s">
        <v>17</v>
      </c>
      <c r="Y20" s="5">
        <f>Y19*Y18*Y17/100</f>
        <v>8647.7652083333342</v>
      </c>
    </row>
    <row r="21" spans="1:25" x14ac:dyDescent="0.25">
      <c r="A21" s="17" t="s">
        <v>1219</v>
      </c>
      <c r="B21" s="28">
        <v>45145</v>
      </c>
      <c r="C21" s="15">
        <v>52776.82</v>
      </c>
      <c r="D21" s="15">
        <f t="shared" si="6"/>
        <v>22660.18</v>
      </c>
      <c r="E21" s="15">
        <f t="shared" si="3"/>
        <v>2600127.6500000013</v>
      </c>
      <c r="F21" s="15">
        <v>75437</v>
      </c>
      <c r="G21" s="15">
        <f t="shared" si="0"/>
        <v>0</v>
      </c>
      <c r="H21" s="446">
        <f t="shared" si="8"/>
        <v>92044.518810000038</v>
      </c>
      <c r="I21" s="15"/>
      <c r="J21" s="11"/>
      <c r="P21" s="17" t="s">
        <v>1219</v>
      </c>
      <c r="Q21" s="28">
        <v>43800</v>
      </c>
      <c r="R21" s="15">
        <v>11333</v>
      </c>
      <c r="S21" s="15">
        <f t="shared" si="7"/>
        <v>5395</v>
      </c>
      <c r="T21" s="15">
        <f t="shared" si="4"/>
        <v>564157</v>
      </c>
      <c r="U21" s="15">
        <v>16728</v>
      </c>
      <c r="V21" s="15">
        <f t="shared" si="1"/>
        <v>0</v>
      </c>
      <c r="W21" s="11"/>
    </row>
    <row r="22" spans="1:25" x14ac:dyDescent="0.25">
      <c r="A22" s="17" t="s">
        <v>1220</v>
      </c>
      <c r="B22" s="28">
        <v>45176</v>
      </c>
      <c r="C22" s="15">
        <v>53227.62</v>
      </c>
      <c r="D22" s="15">
        <f t="shared" si="6"/>
        <v>22209.379999999997</v>
      </c>
      <c r="E22" s="15">
        <f t="shared" si="3"/>
        <v>2546900.0300000012</v>
      </c>
      <c r="F22" s="15">
        <v>75437</v>
      </c>
      <c r="G22" s="15">
        <f t="shared" si="0"/>
        <v>0</v>
      </c>
      <c r="H22" s="446">
        <f t="shared" si="8"/>
        <v>90160.261062000049</v>
      </c>
      <c r="I22" s="15"/>
      <c r="J22" s="11"/>
      <c r="P22" s="17" t="s">
        <v>1220</v>
      </c>
      <c r="Q22" s="28">
        <v>43831</v>
      </c>
      <c r="R22" s="15">
        <v>11439</v>
      </c>
      <c r="S22" s="15">
        <f t="shared" si="7"/>
        <v>5289</v>
      </c>
      <c r="T22" s="15">
        <f t="shared" si="4"/>
        <v>552718</v>
      </c>
      <c r="U22" s="15">
        <v>16728</v>
      </c>
      <c r="V22" s="15">
        <f t="shared" si="1"/>
        <v>0</v>
      </c>
      <c r="W22" s="11"/>
    </row>
    <row r="23" spans="1:25" x14ac:dyDescent="0.25">
      <c r="A23" s="17" t="s">
        <v>1221</v>
      </c>
      <c r="B23" s="28">
        <v>45206</v>
      </c>
      <c r="C23" s="15">
        <v>53682.27</v>
      </c>
      <c r="D23" s="15">
        <f t="shared" si="6"/>
        <v>21754.730000000003</v>
      </c>
      <c r="E23" s="15">
        <f t="shared" si="3"/>
        <v>2493217.7600000012</v>
      </c>
      <c r="F23" s="15">
        <v>75437</v>
      </c>
      <c r="G23" s="15">
        <f t="shared" si="0"/>
        <v>0</v>
      </c>
      <c r="H23" s="446">
        <f t="shared" si="8"/>
        <v>88259.90870400003</v>
      </c>
      <c r="I23" s="15"/>
      <c r="J23" s="11"/>
      <c r="K23" s="88" t="s">
        <v>838</v>
      </c>
      <c r="L23" s="88"/>
      <c r="P23" s="17" t="s">
        <v>1221</v>
      </c>
      <c r="Q23" s="28">
        <v>43862</v>
      </c>
      <c r="R23" s="15">
        <v>11546</v>
      </c>
      <c r="S23" s="15">
        <f t="shared" si="7"/>
        <v>5182</v>
      </c>
      <c r="T23" s="15">
        <f t="shared" si="4"/>
        <v>541172</v>
      </c>
      <c r="U23" s="15">
        <v>16728</v>
      </c>
      <c r="V23" s="15">
        <f t="shared" si="1"/>
        <v>0</v>
      </c>
      <c r="W23" s="11"/>
    </row>
    <row r="24" spans="1:25" x14ac:dyDescent="0.25">
      <c r="A24" s="17" t="s">
        <v>1222</v>
      </c>
      <c r="B24" s="28">
        <v>45237</v>
      </c>
      <c r="C24" s="15">
        <v>54140.81</v>
      </c>
      <c r="D24" s="15">
        <f t="shared" si="6"/>
        <v>21296.190000000002</v>
      </c>
      <c r="E24" s="15">
        <f t="shared" si="3"/>
        <v>2439076.9500000011</v>
      </c>
      <c r="F24" s="15">
        <v>75437</v>
      </c>
      <c r="G24" s="15">
        <f t="shared" si="0"/>
        <v>0</v>
      </c>
      <c r="H24" s="446">
        <f t="shared" si="8"/>
        <v>86343.324030000033</v>
      </c>
      <c r="I24" s="15"/>
      <c r="J24" s="11"/>
      <c r="K24" s="5" t="s">
        <v>840</v>
      </c>
      <c r="L24" s="5">
        <v>14.75</v>
      </c>
      <c r="P24" s="17" t="s">
        <v>1222</v>
      </c>
      <c r="Q24" s="28">
        <v>43891</v>
      </c>
      <c r="R24" s="15">
        <v>11655</v>
      </c>
      <c r="S24" s="15">
        <f t="shared" si="7"/>
        <v>5073</v>
      </c>
      <c r="T24" s="15">
        <f t="shared" si="4"/>
        <v>529517</v>
      </c>
      <c r="U24" s="15">
        <v>16728</v>
      </c>
      <c r="V24" s="15">
        <f t="shared" si="1"/>
        <v>0</v>
      </c>
      <c r="W24" s="11"/>
    </row>
    <row r="25" spans="1:25" x14ac:dyDescent="0.25">
      <c r="A25" s="17" t="s">
        <v>1223</v>
      </c>
      <c r="B25" s="28">
        <v>45267</v>
      </c>
      <c r="C25" s="15">
        <v>54603.26</v>
      </c>
      <c r="D25" s="15">
        <f t="shared" si="6"/>
        <v>20833.739999999998</v>
      </c>
      <c r="E25" s="15">
        <f t="shared" si="3"/>
        <v>2384473.6900000013</v>
      </c>
      <c r="F25" s="15">
        <v>75437</v>
      </c>
      <c r="G25" s="15">
        <f t="shared" si="0"/>
        <v>0</v>
      </c>
      <c r="H25" s="446">
        <f t="shared" si="8"/>
        <v>84410.36862600004</v>
      </c>
      <c r="I25" s="15"/>
      <c r="J25" s="11"/>
      <c r="K25" s="95" t="s">
        <v>843</v>
      </c>
      <c r="L25" s="5">
        <f>L24/12</f>
        <v>1.2291666666666667</v>
      </c>
      <c r="P25" s="17" t="s">
        <v>1223</v>
      </c>
      <c r="Q25" s="28">
        <v>43922</v>
      </c>
      <c r="R25" s="15">
        <v>11764</v>
      </c>
      <c r="S25" s="15">
        <f t="shared" si="7"/>
        <v>4964</v>
      </c>
      <c r="T25" s="15">
        <f t="shared" si="4"/>
        <v>517753</v>
      </c>
      <c r="U25" s="15">
        <v>16728</v>
      </c>
      <c r="V25" s="15">
        <f t="shared" si="1"/>
        <v>0</v>
      </c>
      <c r="W25" s="11"/>
    </row>
    <row r="26" spans="1:25" x14ac:dyDescent="0.25">
      <c r="A26" s="17" t="s">
        <v>1224</v>
      </c>
      <c r="B26" s="28">
        <v>45298</v>
      </c>
      <c r="C26" s="15">
        <v>55069.66</v>
      </c>
      <c r="D26" s="15">
        <f t="shared" si="6"/>
        <v>20367.339999999997</v>
      </c>
      <c r="E26" s="15">
        <f t="shared" si="3"/>
        <v>2329404.0300000012</v>
      </c>
      <c r="F26" s="15">
        <v>75437</v>
      </c>
      <c r="G26" s="15">
        <f t="shared" si="0"/>
        <v>0</v>
      </c>
      <c r="H26" s="446">
        <f t="shared" si="8"/>
        <v>82460.902662000037</v>
      </c>
      <c r="I26" s="15"/>
      <c r="J26" s="11"/>
      <c r="K26" s="95" t="s">
        <v>846</v>
      </c>
      <c r="L26" s="5">
        <f>L25/30</f>
        <v>4.0972222222222222E-2</v>
      </c>
      <c r="P26" s="17" t="s">
        <v>1224</v>
      </c>
      <c r="Q26" s="28">
        <v>43952</v>
      </c>
      <c r="R26" s="15">
        <v>11874</v>
      </c>
      <c r="S26" s="15">
        <f t="shared" si="7"/>
        <v>4854</v>
      </c>
      <c r="T26" s="15">
        <f t="shared" si="4"/>
        <v>505879</v>
      </c>
      <c r="U26" s="15">
        <v>16728</v>
      </c>
      <c r="V26" s="15">
        <f t="shared" si="1"/>
        <v>0</v>
      </c>
      <c r="W26" s="11"/>
    </row>
    <row r="27" spans="1:25" x14ac:dyDescent="0.25">
      <c r="A27" s="17" t="s">
        <v>1225</v>
      </c>
      <c r="B27" s="28">
        <v>45329</v>
      </c>
      <c r="C27" s="15">
        <v>55540.05</v>
      </c>
      <c r="D27" s="15">
        <f t="shared" si="6"/>
        <v>19896.949999999997</v>
      </c>
      <c r="E27" s="15">
        <f t="shared" si="3"/>
        <v>2273863.9800000014</v>
      </c>
      <c r="F27" s="15">
        <v>75437</v>
      </c>
      <c r="G27" s="15">
        <f t="shared" si="0"/>
        <v>0</v>
      </c>
      <c r="H27" s="446">
        <f t="shared" si="8"/>
        <v>80494.784892000054</v>
      </c>
      <c r="I27" s="15">
        <f t="shared" ref="I27:I51" si="9">E27*25/100</f>
        <v>568465.99500000034</v>
      </c>
      <c r="J27" s="11"/>
      <c r="K27" s="85" t="s">
        <v>352</v>
      </c>
      <c r="L27" s="5">
        <v>765000</v>
      </c>
      <c r="P27" s="17" t="s">
        <v>1225</v>
      </c>
      <c r="Q27" s="28">
        <v>43983</v>
      </c>
      <c r="R27" s="15">
        <v>11985</v>
      </c>
      <c r="S27" s="15">
        <f t="shared" si="7"/>
        <v>4743</v>
      </c>
      <c r="T27" s="15">
        <f t="shared" si="4"/>
        <v>493894</v>
      </c>
      <c r="U27" s="15">
        <v>16728</v>
      </c>
      <c r="V27" s="15">
        <f t="shared" si="1"/>
        <v>0</v>
      </c>
      <c r="W27" s="11"/>
    </row>
    <row r="28" spans="1:25" x14ac:dyDescent="0.25">
      <c r="A28" s="17" t="s">
        <v>1226</v>
      </c>
      <c r="B28" s="28">
        <v>45358</v>
      </c>
      <c r="C28" s="15">
        <v>56014.45</v>
      </c>
      <c r="D28" s="15">
        <f t="shared" si="6"/>
        <v>19422.550000000003</v>
      </c>
      <c r="E28" s="15">
        <f t="shared" si="3"/>
        <v>2217849.5300000012</v>
      </c>
      <c r="F28" s="15">
        <v>75437</v>
      </c>
      <c r="G28" s="15">
        <f t="shared" si="0"/>
        <v>0</v>
      </c>
      <c r="H28" s="446">
        <f t="shared" si="8"/>
        <v>78511.873362000028</v>
      </c>
      <c r="I28" s="15"/>
      <c r="J28" s="11"/>
      <c r="K28" s="85" t="s">
        <v>849</v>
      </c>
      <c r="L28" s="5">
        <v>30</v>
      </c>
      <c r="P28" s="17" t="s">
        <v>1226</v>
      </c>
      <c r="Q28" s="28">
        <v>44013</v>
      </c>
      <c r="R28" s="15">
        <v>12098</v>
      </c>
      <c r="S28" s="15">
        <f t="shared" si="7"/>
        <v>4630</v>
      </c>
      <c r="T28" s="15">
        <f t="shared" si="4"/>
        <v>481796</v>
      </c>
      <c r="U28" s="15">
        <v>16728</v>
      </c>
      <c r="V28" s="15">
        <f t="shared" si="1"/>
        <v>0</v>
      </c>
      <c r="W28" s="11"/>
    </row>
    <row r="29" spans="1:25" x14ac:dyDescent="0.25">
      <c r="A29" s="17" t="s">
        <v>1227</v>
      </c>
      <c r="B29" s="28">
        <v>45389</v>
      </c>
      <c r="C29" s="15">
        <v>56492.91</v>
      </c>
      <c r="D29" s="15">
        <v>19719.41</v>
      </c>
      <c r="E29" s="15">
        <f t="shared" si="3"/>
        <v>2161356.620000001</v>
      </c>
      <c r="F29" s="15">
        <v>75437</v>
      </c>
      <c r="G29" s="15">
        <f t="shared" si="0"/>
        <v>0</v>
      </c>
      <c r="H29" s="446">
        <f t="shared" si="8"/>
        <v>76512.024348000035</v>
      </c>
      <c r="I29" s="15"/>
      <c r="J29" s="11"/>
      <c r="K29" s="95" t="s">
        <v>17</v>
      </c>
      <c r="L29" s="5">
        <f>L28*L27*L26/100</f>
        <v>9403.125</v>
      </c>
      <c r="P29" s="17" t="s">
        <v>1227</v>
      </c>
      <c r="Q29" s="28">
        <v>44044</v>
      </c>
      <c r="R29" s="15">
        <v>12211</v>
      </c>
      <c r="S29" s="15">
        <f t="shared" si="7"/>
        <v>4517</v>
      </c>
      <c r="T29" s="15">
        <f t="shared" si="4"/>
        <v>469585</v>
      </c>
      <c r="U29" s="15">
        <v>16728</v>
      </c>
      <c r="V29" s="15">
        <f t="shared" si="1"/>
        <v>0</v>
      </c>
      <c r="W29" s="11"/>
    </row>
    <row r="30" spans="1:25" x14ac:dyDescent="0.25">
      <c r="A30" s="17" t="s">
        <v>1228</v>
      </c>
      <c r="B30" s="28">
        <v>45419</v>
      </c>
      <c r="C30" s="15">
        <v>56975.45</v>
      </c>
      <c r="D30" s="15">
        <f t="shared" si="6"/>
        <v>18461.550000000003</v>
      </c>
      <c r="E30" s="15">
        <f t="shared" si="3"/>
        <v>2104381.1700000009</v>
      </c>
      <c r="F30" s="15">
        <v>75437</v>
      </c>
      <c r="G30" s="15">
        <f t="shared" si="0"/>
        <v>0</v>
      </c>
      <c r="H30" s="446">
        <f t="shared" si="8"/>
        <v>74495.093418000033</v>
      </c>
      <c r="I30" s="15"/>
      <c r="J30" s="11"/>
      <c r="P30" s="17" t="s">
        <v>1228</v>
      </c>
      <c r="Q30" s="28">
        <v>44075</v>
      </c>
      <c r="R30" s="15">
        <v>12326</v>
      </c>
      <c r="S30" s="15">
        <f t="shared" si="7"/>
        <v>4402</v>
      </c>
      <c r="T30" s="15">
        <f t="shared" si="4"/>
        <v>457259</v>
      </c>
      <c r="U30" s="15">
        <v>16728</v>
      </c>
      <c r="V30" s="15">
        <f t="shared" si="1"/>
        <v>0</v>
      </c>
      <c r="W30" s="11"/>
    </row>
    <row r="31" spans="1:25" x14ac:dyDescent="0.25">
      <c r="A31" s="17" t="s">
        <v>1229</v>
      </c>
      <c r="B31" s="28">
        <v>45450</v>
      </c>
      <c r="C31" s="15">
        <v>57462.11</v>
      </c>
      <c r="D31" s="15">
        <f t="shared" si="6"/>
        <v>17974.89</v>
      </c>
      <c r="E31" s="15">
        <f t="shared" si="3"/>
        <v>2046919.0600000008</v>
      </c>
      <c r="F31" s="15">
        <v>75437</v>
      </c>
      <c r="G31" s="15">
        <f t="shared" si="0"/>
        <v>0</v>
      </c>
      <c r="H31" s="446">
        <f t="shared" si="8"/>
        <v>72460.934724000035</v>
      </c>
      <c r="I31" s="15"/>
      <c r="J31" s="11"/>
      <c r="K31">
        <v>2014888.68</v>
      </c>
      <c r="P31" s="17" t="s">
        <v>1229</v>
      </c>
      <c r="Q31" s="28">
        <v>44105</v>
      </c>
      <c r="R31" s="15">
        <v>12441</v>
      </c>
      <c r="S31" s="15">
        <f t="shared" si="7"/>
        <v>4287</v>
      </c>
      <c r="T31" s="15">
        <f t="shared" si="4"/>
        <v>444818</v>
      </c>
      <c r="U31" s="15">
        <v>16728</v>
      </c>
      <c r="V31" s="15">
        <f t="shared" si="1"/>
        <v>0</v>
      </c>
      <c r="W31" s="11"/>
    </row>
    <row r="32" spans="1:25" x14ac:dyDescent="0.25">
      <c r="A32" s="17" t="s">
        <v>1230</v>
      </c>
      <c r="B32" s="28">
        <v>45480</v>
      </c>
      <c r="C32" s="15">
        <v>57952.93</v>
      </c>
      <c r="D32" s="15">
        <v>25300.09</v>
      </c>
      <c r="E32" s="15">
        <f t="shared" si="3"/>
        <v>1988966.1300000008</v>
      </c>
      <c r="F32" s="15">
        <v>75437</v>
      </c>
      <c r="G32" s="15">
        <f t="shared" si="0"/>
        <v>0</v>
      </c>
      <c r="H32" s="446">
        <f t="shared" si="8"/>
        <v>70409.401002000028</v>
      </c>
      <c r="I32" s="15"/>
      <c r="J32" s="11"/>
      <c r="K32">
        <v>600000</v>
      </c>
      <c r="P32" s="17" t="s">
        <v>1230</v>
      </c>
      <c r="Q32" s="28">
        <v>44136</v>
      </c>
      <c r="R32" s="15">
        <v>12558</v>
      </c>
      <c r="S32" s="15">
        <f t="shared" si="7"/>
        <v>4170</v>
      </c>
      <c r="T32" s="15">
        <f t="shared" si="4"/>
        <v>432260</v>
      </c>
      <c r="U32" s="15">
        <v>16728</v>
      </c>
      <c r="V32" s="15">
        <f t="shared" si="1"/>
        <v>0</v>
      </c>
      <c r="W32" s="11"/>
    </row>
    <row r="33" spans="1:23" x14ac:dyDescent="0.25">
      <c r="A33" s="17" t="s">
        <v>1231</v>
      </c>
      <c r="B33" s="28">
        <v>45511</v>
      </c>
      <c r="C33" s="15">
        <v>58447.95</v>
      </c>
      <c r="D33" s="15">
        <f t="shared" si="6"/>
        <v>16989.050000000003</v>
      </c>
      <c r="E33" s="15">
        <f t="shared" si="3"/>
        <v>1930518.1800000009</v>
      </c>
      <c r="F33" s="15">
        <v>75437</v>
      </c>
      <c r="G33" s="15">
        <f t="shared" si="0"/>
        <v>0</v>
      </c>
      <c r="H33" s="446">
        <f t="shared" si="8"/>
        <v>68340.343572000042</v>
      </c>
      <c r="I33" s="15"/>
      <c r="J33" s="11"/>
      <c r="P33" s="17" t="s">
        <v>1231</v>
      </c>
      <c r="Q33" s="28">
        <v>44166</v>
      </c>
      <c r="R33" s="15">
        <v>12676</v>
      </c>
      <c r="S33" s="15">
        <f t="shared" si="7"/>
        <v>4052</v>
      </c>
      <c r="T33" s="15">
        <f t="shared" si="4"/>
        <v>419584</v>
      </c>
      <c r="U33" s="15">
        <v>16728</v>
      </c>
      <c r="V33" s="15">
        <f t="shared" si="1"/>
        <v>0</v>
      </c>
      <c r="W33" s="11"/>
    </row>
    <row r="34" spans="1:23" x14ac:dyDescent="0.25">
      <c r="A34" s="17" t="s">
        <v>1232</v>
      </c>
      <c r="B34" s="28">
        <v>45542</v>
      </c>
      <c r="C34" s="15">
        <v>58947.19</v>
      </c>
      <c r="D34" s="15">
        <f t="shared" si="6"/>
        <v>16489.809999999998</v>
      </c>
      <c r="E34" s="15">
        <f t="shared" si="3"/>
        <v>1871570.9900000009</v>
      </c>
      <c r="F34" s="15">
        <v>75437</v>
      </c>
      <c r="G34" s="15">
        <f t="shared" si="0"/>
        <v>0</v>
      </c>
      <c r="H34" s="446">
        <f t="shared" si="8"/>
        <v>66253.613046000028</v>
      </c>
      <c r="I34" s="15"/>
      <c r="J34" s="11"/>
      <c r="L34">
        <v>2014888.68</v>
      </c>
      <c r="P34" s="17" t="s">
        <v>1232</v>
      </c>
      <c r="Q34" s="28">
        <v>44197</v>
      </c>
      <c r="R34" s="15">
        <v>12794</v>
      </c>
      <c r="S34" s="15">
        <f t="shared" si="7"/>
        <v>3934</v>
      </c>
      <c r="T34" s="15">
        <f t="shared" si="4"/>
        <v>406790</v>
      </c>
      <c r="U34" s="15">
        <v>16728</v>
      </c>
      <c r="V34" s="15">
        <f t="shared" si="1"/>
        <v>0</v>
      </c>
      <c r="W34" s="11"/>
    </row>
    <row r="35" spans="1:23" x14ac:dyDescent="0.25">
      <c r="A35" s="17" t="s">
        <v>1233</v>
      </c>
      <c r="B35" s="28">
        <v>45572</v>
      </c>
      <c r="C35" s="15">
        <v>59450.7</v>
      </c>
      <c r="D35" s="15">
        <f t="shared" si="6"/>
        <v>15986.300000000003</v>
      </c>
      <c r="E35" s="15">
        <f t="shared" si="3"/>
        <v>1812120.290000001</v>
      </c>
      <c r="F35" s="15">
        <v>75437</v>
      </c>
      <c r="G35" s="15">
        <f t="shared" si="0"/>
        <v>0</v>
      </c>
      <c r="H35" s="446">
        <f t="shared" si="8"/>
        <v>64149.058266000029</v>
      </c>
      <c r="I35" s="15"/>
      <c r="J35" s="11"/>
      <c r="L35">
        <v>575500</v>
      </c>
      <c r="P35" s="17" t="s">
        <v>1233</v>
      </c>
      <c r="Q35" s="28">
        <v>44228</v>
      </c>
      <c r="R35" s="15">
        <v>12914</v>
      </c>
      <c r="S35" s="15">
        <f t="shared" si="7"/>
        <v>3814</v>
      </c>
      <c r="T35" s="15">
        <f t="shared" si="4"/>
        <v>393876</v>
      </c>
      <c r="U35" s="15">
        <v>16728</v>
      </c>
      <c r="V35" s="15">
        <f t="shared" si="1"/>
        <v>0</v>
      </c>
      <c r="W35" s="11"/>
    </row>
    <row r="36" spans="1:23" x14ac:dyDescent="0.25">
      <c r="A36" s="17" t="s">
        <v>1234</v>
      </c>
      <c r="B36" s="28">
        <v>45603</v>
      </c>
      <c r="C36" s="15">
        <v>59958.5</v>
      </c>
      <c r="D36" s="15">
        <f t="shared" si="6"/>
        <v>15478.5</v>
      </c>
      <c r="E36" s="15">
        <f t="shared" si="3"/>
        <v>1752161.790000001</v>
      </c>
      <c r="F36" s="15">
        <v>75437</v>
      </c>
      <c r="G36" s="15">
        <f t="shared" si="0"/>
        <v>0</v>
      </c>
      <c r="H36" s="446">
        <f t="shared" si="8"/>
        <v>62026.527366000038</v>
      </c>
      <c r="I36" s="15"/>
      <c r="J36" s="11"/>
      <c r="P36" s="17" t="s">
        <v>1234</v>
      </c>
      <c r="Q36" s="28">
        <v>44256</v>
      </c>
      <c r="R36" s="15">
        <v>13035</v>
      </c>
      <c r="S36" s="15">
        <f t="shared" si="7"/>
        <v>3693</v>
      </c>
      <c r="T36" s="15">
        <f t="shared" si="4"/>
        <v>380841</v>
      </c>
      <c r="U36" s="15">
        <v>16728</v>
      </c>
      <c r="V36" s="15">
        <f t="shared" si="1"/>
        <v>0</v>
      </c>
      <c r="W36" s="11"/>
    </row>
    <row r="37" spans="1:23" x14ac:dyDescent="0.25">
      <c r="A37" s="17" t="s">
        <v>1235</v>
      </c>
      <c r="B37" s="28">
        <v>45633</v>
      </c>
      <c r="C37" s="15">
        <v>60470.65</v>
      </c>
      <c r="D37" s="15">
        <f t="shared" si="6"/>
        <v>14966.349999999999</v>
      </c>
      <c r="E37" s="15">
        <f t="shared" si="3"/>
        <v>1691691.1400000011</v>
      </c>
      <c r="F37" s="15">
        <v>75437</v>
      </c>
      <c r="G37" s="15">
        <f t="shared" si="0"/>
        <v>0</v>
      </c>
      <c r="H37" s="446">
        <f t="shared" si="8"/>
        <v>59885.866356000042</v>
      </c>
      <c r="I37" s="15"/>
      <c r="J37" s="11"/>
      <c r="P37" s="17" t="s">
        <v>1235</v>
      </c>
      <c r="Q37" s="28">
        <v>44287</v>
      </c>
      <c r="R37" s="15">
        <v>13158</v>
      </c>
      <c r="S37" s="15">
        <f t="shared" si="7"/>
        <v>3570</v>
      </c>
      <c r="T37" s="15">
        <f t="shared" si="4"/>
        <v>367683</v>
      </c>
      <c r="U37" s="15">
        <v>16728</v>
      </c>
      <c r="V37" s="15">
        <f t="shared" si="1"/>
        <v>0</v>
      </c>
      <c r="W37" s="11"/>
    </row>
    <row r="38" spans="1:23" x14ac:dyDescent="0.25">
      <c r="A38" s="17" t="s">
        <v>1236</v>
      </c>
      <c r="B38" s="28">
        <v>45664</v>
      </c>
      <c r="C38" s="15">
        <v>60987.17</v>
      </c>
      <c r="D38" s="15">
        <f t="shared" si="6"/>
        <v>14449.830000000002</v>
      </c>
      <c r="E38" s="15">
        <f t="shared" si="3"/>
        <v>1630703.9700000011</v>
      </c>
      <c r="F38" s="15">
        <v>75437</v>
      </c>
      <c r="G38" s="15">
        <f t="shared" si="0"/>
        <v>0</v>
      </c>
      <c r="H38" s="446">
        <f t="shared" si="8"/>
        <v>57726.920538000049</v>
      </c>
      <c r="I38" s="15"/>
      <c r="J38" s="11"/>
      <c r="P38" s="17" t="s">
        <v>1236</v>
      </c>
      <c r="Q38" s="28">
        <v>44317</v>
      </c>
      <c r="R38" s="15">
        <v>13281</v>
      </c>
      <c r="S38" s="15">
        <f t="shared" si="7"/>
        <v>3447</v>
      </c>
      <c r="T38" s="15">
        <f t="shared" si="4"/>
        <v>354402</v>
      </c>
      <c r="U38" s="15">
        <v>16728</v>
      </c>
      <c r="V38" s="15">
        <f t="shared" si="1"/>
        <v>0</v>
      </c>
      <c r="W38" s="11"/>
    </row>
    <row r="39" spans="1:23" x14ac:dyDescent="0.25">
      <c r="A39" s="17" t="s">
        <v>1237</v>
      </c>
      <c r="B39" s="28">
        <v>45695</v>
      </c>
      <c r="C39" s="15">
        <v>61508.1</v>
      </c>
      <c r="D39" s="15">
        <f t="shared" si="6"/>
        <v>13928.900000000001</v>
      </c>
      <c r="E39" s="15">
        <f t="shared" si="3"/>
        <v>1569195.870000001</v>
      </c>
      <c r="F39" s="15">
        <v>75437</v>
      </c>
      <c r="G39" s="15">
        <f t="shared" si="0"/>
        <v>0</v>
      </c>
      <c r="H39" s="446">
        <f t="shared" si="8"/>
        <v>55549.533798000033</v>
      </c>
      <c r="I39" s="15">
        <f t="shared" si="9"/>
        <v>392298.96750000032</v>
      </c>
      <c r="J39" s="11"/>
      <c r="P39" s="17" t="s">
        <v>1237</v>
      </c>
      <c r="Q39" s="28">
        <v>44348</v>
      </c>
      <c r="R39" s="15">
        <v>13405</v>
      </c>
      <c r="S39" s="15">
        <f t="shared" si="7"/>
        <v>3323</v>
      </c>
      <c r="T39" s="15">
        <f t="shared" si="4"/>
        <v>340997</v>
      </c>
      <c r="U39" s="15">
        <v>16728</v>
      </c>
      <c r="V39" s="15">
        <f t="shared" si="1"/>
        <v>0</v>
      </c>
      <c r="W39" s="11"/>
    </row>
    <row r="40" spans="1:23" x14ac:dyDescent="0.25">
      <c r="A40" s="17" t="s">
        <v>1238</v>
      </c>
      <c r="B40" s="28">
        <v>45723</v>
      </c>
      <c r="C40" s="15">
        <v>62033.48</v>
      </c>
      <c r="D40" s="15">
        <f t="shared" si="6"/>
        <v>13403.519999999997</v>
      </c>
      <c r="E40" s="15">
        <f t="shared" si="3"/>
        <v>1507162.3900000011</v>
      </c>
      <c r="F40" s="15">
        <v>75437</v>
      </c>
      <c r="G40" s="15">
        <f t="shared" si="0"/>
        <v>0</v>
      </c>
      <c r="H40" s="446">
        <f t="shared" si="8"/>
        <v>53353.548606000048</v>
      </c>
      <c r="I40" s="15"/>
      <c r="J40" s="11"/>
      <c r="P40" s="17" t="s">
        <v>1238</v>
      </c>
      <c r="Q40" s="28">
        <v>44378</v>
      </c>
      <c r="R40" s="15">
        <v>13531</v>
      </c>
      <c r="S40" s="15">
        <f t="shared" si="7"/>
        <v>3197</v>
      </c>
      <c r="T40" s="15">
        <f t="shared" si="4"/>
        <v>327466</v>
      </c>
      <c r="U40" s="15">
        <v>16728</v>
      </c>
      <c r="V40" s="15">
        <f t="shared" si="1"/>
        <v>0</v>
      </c>
      <c r="W40" s="11"/>
    </row>
    <row r="41" spans="1:23" x14ac:dyDescent="0.25">
      <c r="A41" s="17" t="s">
        <v>1239</v>
      </c>
      <c r="B41" s="28">
        <v>45754</v>
      </c>
      <c r="C41" s="15">
        <v>62563.35</v>
      </c>
      <c r="D41" s="15">
        <f t="shared" si="6"/>
        <v>12873.650000000001</v>
      </c>
      <c r="E41" s="15">
        <f t="shared" si="3"/>
        <v>1444599.040000001</v>
      </c>
      <c r="F41" s="15">
        <v>75437</v>
      </c>
      <c r="G41" s="15">
        <f t="shared" si="0"/>
        <v>0</v>
      </c>
      <c r="H41" s="446">
        <f t="shared" si="8"/>
        <v>51138.806016000031</v>
      </c>
      <c r="I41" s="15"/>
      <c r="J41" s="11"/>
      <c r="P41" s="17" t="s">
        <v>1239</v>
      </c>
      <c r="Q41" s="28">
        <v>44409</v>
      </c>
      <c r="R41" s="15">
        <v>13658</v>
      </c>
      <c r="S41" s="15">
        <f t="shared" si="7"/>
        <v>3070</v>
      </c>
      <c r="T41" s="15">
        <f t="shared" si="4"/>
        <v>313808</v>
      </c>
      <c r="U41" s="15">
        <v>16728</v>
      </c>
      <c r="V41" s="15">
        <f t="shared" si="1"/>
        <v>0</v>
      </c>
      <c r="W41" s="11"/>
    </row>
    <row r="42" spans="1:23" x14ac:dyDescent="0.25">
      <c r="A42" s="17" t="s">
        <v>1240</v>
      </c>
      <c r="B42" s="28">
        <v>45784</v>
      </c>
      <c r="C42" s="15">
        <v>63097.74</v>
      </c>
      <c r="D42" s="15">
        <f t="shared" si="6"/>
        <v>12339.260000000002</v>
      </c>
      <c r="E42" s="15">
        <f t="shared" si="3"/>
        <v>1381501.300000001</v>
      </c>
      <c r="F42" s="15">
        <v>75437</v>
      </c>
      <c r="G42" s="15">
        <f t="shared" si="0"/>
        <v>0</v>
      </c>
      <c r="H42" s="446">
        <f t="shared" si="8"/>
        <v>48905.146020000044</v>
      </c>
      <c r="I42" s="15"/>
      <c r="J42" s="11"/>
      <c r="P42" s="17" t="s">
        <v>1240</v>
      </c>
      <c r="Q42" s="28">
        <v>44440</v>
      </c>
      <c r="R42" s="15">
        <v>13786</v>
      </c>
      <c r="S42" s="15">
        <f t="shared" si="7"/>
        <v>2942</v>
      </c>
      <c r="T42" s="15">
        <f t="shared" si="4"/>
        <v>300022</v>
      </c>
      <c r="U42" s="15">
        <v>16728</v>
      </c>
      <c r="V42" s="15">
        <f t="shared" si="1"/>
        <v>0</v>
      </c>
      <c r="W42" s="11"/>
    </row>
    <row r="43" spans="1:23" x14ac:dyDescent="0.25">
      <c r="A43" s="17" t="s">
        <v>1241</v>
      </c>
      <c r="B43" s="28">
        <v>45815</v>
      </c>
      <c r="C43" s="15">
        <v>63636.7</v>
      </c>
      <c r="D43" s="15">
        <f t="shared" si="6"/>
        <v>11800.300000000003</v>
      </c>
      <c r="E43" s="15">
        <f t="shared" si="3"/>
        <v>1317864.600000001</v>
      </c>
      <c r="F43" s="15">
        <v>75437</v>
      </c>
      <c r="G43" s="15">
        <f t="shared" si="0"/>
        <v>0</v>
      </c>
      <c r="H43" s="446">
        <f t="shared" si="8"/>
        <v>46652.40684000004</v>
      </c>
      <c r="I43" s="15"/>
      <c r="J43" s="11"/>
      <c r="P43" s="17" t="s">
        <v>1241</v>
      </c>
      <c r="Q43" s="28">
        <v>44470</v>
      </c>
      <c r="R43" s="15">
        <v>13915</v>
      </c>
      <c r="S43" s="15">
        <f t="shared" si="7"/>
        <v>2813</v>
      </c>
      <c r="T43" s="15">
        <f t="shared" si="4"/>
        <v>286107</v>
      </c>
      <c r="U43" s="15">
        <v>16728</v>
      </c>
      <c r="V43" s="15">
        <f t="shared" si="1"/>
        <v>0</v>
      </c>
      <c r="W43" s="11"/>
    </row>
    <row r="44" spans="1:23" x14ac:dyDescent="0.25">
      <c r="A44" s="17" t="s">
        <v>1242</v>
      </c>
      <c r="B44" s="28">
        <v>45845</v>
      </c>
      <c r="C44" s="15">
        <v>64180.26</v>
      </c>
      <c r="D44" s="15">
        <f t="shared" si="6"/>
        <v>11256.739999999998</v>
      </c>
      <c r="E44" s="15">
        <f t="shared" si="3"/>
        <v>1253684.340000001</v>
      </c>
      <c r="F44" s="15">
        <v>75437</v>
      </c>
      <c r="G44" s="15">
        <f t="shared" si="0"/>
        <v>0</v>
      </c>
      <c r="H44" s="446">
        <f t="shared" si="8"/>
        <v>44380.425636000036</v>
      </c>
      <c r="I44" s="15"/>
      <c r="J44" s="11"/>
      <c r="P44" s="17" t="s">
        <v>1242</v>
      </c>
      <c r="Q44" s="28">
        <v>44501</v>
      </c>
      <c r="R44" s="15">
        <v>14046</v>
      </c>
      <c r="S44" s="15">
        <f t="shared" si="7"/>
        <v>2682</v>
      </c>
      <c r="T44" s="15">
        <f t="shared" si="4"/>
        <v>272061</v>
      </c>
      <c r="U44" s="15">
        <v>16728</v>
      </c>
      <c r="V44" s="15">
        <f t="shared" si="1"/>
        <v>0</v>
      </c>
      <c r="W44" s="11"/>
    </row>
    <row r="45" spans="1:23" x14ac:dyDescent="0.25">
      <c r="A45" s="17" t="s">
        <v>1243</v>
      </c>
      <c r="B45" s="28">
        <v>45876</v>
      </c>
      <c r="C45" s="15">
        <v>64728.47</v>
      </c>
      <c r="D45" s="15">
        <f t="shared" si="6"/>
        <v>10708.529999999999</v>
      </c>
      <c r="E45" s="15">
        <f t="shared" si="3"/>
        <v>1188955.870000001</v>
      </c>
      <c r="F45" s="15">
        <v>75437</v>
      </c>
      <c r="G45" s="15">
        <f t="shared" si="0"/>
        <v>0</v>
      </c>
      <c r="H45" s="446">
        <f t="shared" si="8"/>
        <v>42089.037798000041</v>
      </c>
      <c r="I45" s="15"/>
      <c r="J45" s="11"/>
      <c r="K45">
        <v>-578008</v>
      </c>
      <c r="L45">
        <v>45843</v>
      </c>
      <c r="M45">
        <v>46000</v>
      </c>
      <c r="P45" s="17" t="s">
        <v>1243</v>
      </c>
      <c r="Q45" s="28">
        <v>44531</v>
      </c>
      <c r="R45" s="15">
        <v>14177</v>
      </c>
      <c r="S45" s="15">
        <f t="shared" si="7"/>
        <v>2551</v>
      </c>
      <c r="T45" s="15">
        <f t="shared" si="4"/>
        <v>257884</v>
      </c>
      <c r="U45" s="15">
        <v>16728</v>
      </c>
      <c r="V45" s="15">
        <f t="shared" si="1"/>
        <v>0</v>
      </c>
      <c r="W45" s="11"/>
    </row>
    <row r="46" spans="1:23" x14ac:dyDescent="0.25">
      <c r="A46" s="17" t="s">
        <v>1244</v>
      </c>
      <c r="B46" s="28">
        <v>45907</v>
      </c>
      <c r="C46" s="15">
        <v>65281.35</v>
      </c>
      <c r="D46" s="15">
        <f t="shared" si="6"/>
        <v>10155.650000000001</v>
      </c>
      <c r="E46" s="15">
        <f t="shared" si="3"/>
        <v>1123674.5200000009</v>
      </c>
      <c r="F46" s="15">
        <v>75437</v>
      </c>
      <c r="G46" s="15">
        <f t="shared" si="0"/>
        <v>0</v>
      </c>
      <c r="H46" s="446">
        <f t="shared" si="8"/>
        <v>39778.078008000033</v>
      </c>
      <c r="I46" s="15"/>
      <c r="J46" s="11"/>
      <c r="K46">
        <v>575490</v>
      </c>
      <c r="L46">
        <v>16728</v>
      </c>
      <c r="M46">
        <v>8000</v>
      </c>
      <c r="P46" s="17" t="s">
        <v>1244</v>
      </c>
      <c r="Q46" s="28">
        <v>44562</v>
      </c>
      <c r="R46" s="15">
        <v>14310</v>
      </c>
      <c r="S46" s="15">
        <f t="shared" si="7"/>
        <v>2418</v>
      </c>
      <c r="T46" s="15">
        <f t="shared" si="4"/>
        <v>243574</v>
      </c>
      <c r="U46" s="15">
        <v>16728</v>
      </c>
      <c r="V46" s="15">
        <f t="shared" si="1"/>
        <v>0</v>
      </c>
      <c r="W46" s="11"/>
    </row>
    <row r="47" spans="1:23" x14ac:dyDescent="0.25">
      <c r="A47" s="17" t="s">
        <v>1245</v>
      </c>
      <c r="B47" s="28">
        <v>45937</v>
      </c>
      <c r="C47" s="15">
        <v>65838.97</v>
      </c>
      <c r="D47" s="15">
        <f t="shared" si="6"/>
        <v>9598.0299999999988</v>
      </c>
      <c r="E47" s="15">
        <f t="shared" si="3"/>
        <v>1057835.550000001</v>
      </c>
      <c r="F47" s="15">
        <v>75437</v>
      </c>
      <c r="G47" s="15">
        <f t="shared" si="0"/>
        <v>0</v>
      </c>
      <c r="H47" s="446">
        <f t="shared" si="8"/>
        <v>37447.378470000032</v>
      </c>
      <c r="I47" s="15"/>
      <c r="J47" s="11"/>
      <c r="P47" s="17" t="s">
        <v>1245</v>
      </c>
      <c r="Q47" s="28">
        <v>44593</v>
      </c>
      <c r="R47" s="15">
        <v>14444</v>
      </c>
      <c r="S47" s="15">
        <f t="shared" si="7"/>
        <v>2284</v>
      </c>
      <c r="T47" s="15">
        <f t="shared" si="4"/>
        <v>229130</v>
      </c>
      <c r="U47" s="15">
        <v>16728</v>
      </c>
      <c r="V47" s="15">
        <f t="shared" si="1"/>
        <v>0</v>
      </c>
      <c r="W47" s="11"/>
    </row>
    <row r="48" spans="1:23" x14ac:dyDescent="0.25">
      <c r="A48" s="17" t="s">
        <v>1246</v>
      </c>
      <c r="B48" s="28">
        <v>45968</v>
      </c>
      <c r="C48" s="15">
        <v>66401.34</v>
      </c>
      <c r="D48" s="15">
        <f t="shared" si="6"/>
        <v>9035.6600000000035</v>
      </c>
      <c r="E48" s="15">
        <f t="shared" si="3"/>
        <v>991434.21000000101</v>
      </c>
      <c r="F48" s="15">
        <v>75437</v>
      </c>
      <c r="G48" s="15">
        <f t="shared" si="0"/>
        <v>0</v>
      </c>
      <c r="H48" s="446">
        <f t="shared" si="8"/>
        <v>35096.771034000034</v>
      </c>
      <c r="I48" s="15"/>
      <c r="J48" s="11"/>
      <c r="K48">
        <v>14</v>
      </c>
      <c r="L48">
        <v>180</v>
      </c>
      <c r="P48" s="17" t="s">
        <v>1246</v>
      </c>
      <c r="Q48" s="28">
        <v>44621</v>
      </c>
      <c r="R48" s="15">
        <v>14580</v>
      </c>
      <c r="S48" s="15">
        <f t="shared" si="7"/>
        <v>2148</v>
      </c>
      <c r="T48" s="15">
        <f t="shared" si="4"/>
        <v>214550</v>
      </c>
      <c r="U48" s="15">
        <v>16728</v>
      </c>
      <c r="V48" s="15">
        <f t="shared" si="1"/>
        <v>0</v>
      </c>
      <c r="W48" s="11"/>
    </row>
    <row r="49" spans="1:23" x14ac:dyDescent="0.25">
      <c r="A49" s="17" t="s">
        <v>1247</v>
      </c>
      <c r="B49" s="28">
        <v>45998</v>
      </c>
      <c r="C49" s="15">
        <v>66968.52</v>
      </c>
      <c r="D49" s="15">
        <f t="shared" si="6"/>
        <v>8468.4799999999959</v>
      </c>
      <c r="E49" s="15">
        <f t="shared" si="3"/>
        <v>924465.69000000099</v>
      </c>
      <c r="F49" s="15">
        <v>75437</v>
      </c>
      <c r="G49" s="15">
        <f t="shared" si="0"/>
        <v>0</v>
      </c>
      <c r="H49" s="446">
        <f t="shared" si="8"/>
        <v>32726.085426000034</v>
      </c>
      <c r="I49" s="15"/>
      <c r="J49" s="11"/>
      <c r="L49">
        <f>L48*K48</f>
        <v>2520</v>
      </c>
      <c r="P49" s="17" t="s">
        <v>1247</v>
      </c>
      <c r="Q49" s="28">
        <v>44652</v>
      </c>
      <c r="R49" s="15">
        <v>14717</v>
      </c>
      <c r="S49" s="15">
        <f t="shared" si="7"/>
        <v>2011</v>
      </c>
      <c r="T49" s="15">
        <f t="shared" si="4"/>
        <v>199833</v>
      </c>
      <c r="U49" s="15">
        <v>16728</v>
      </c>
      <c r="V49" s="15">
        <f t="shared" si="1"/>
        <v>0</v>
      </c>
      <c r="W49" s="11"/>
    </row>
    <row r="50" spans="1:23" x14ac:dyDescent="0.25">
      <c r="A50" s="17" t="s">
        <v>1248</v>
      </c>
      <c r="B50" s="28">
        <v>46029</v>
      </c>
      <c r="C50" s="15">
        <v>67540.539999999994</v>
      </c>
      <c r="D50" s="15">
        <f t="shared" si="6"/>
        <v>7896.4600000000064</v>
      </c>
      <c r="E50" s="15">
        <f t="shared" si="3"/>
        <v>856925.15000000095</v>
      </c>
      <c r="F50" s="15">
        <v>75437</v>
      </c>
      <c r="G50" s="15">
        <f t="shared" si="0"/>
        <v>0</v>
      </c>
      <c r="H50" s="446">
        <f t="shared" si="8"/>
        <v>30335.150310000034</v>
      </c>
      <c r="I50" s="15"/>
      <c r="J50" s="11"/>
      <c r="P50" s="17" t="s">
        <v>1248</v>
      </c>
      <c r="Q50" s="28">
        <v>44682</v>
      </c>
      <c r="R50" s="15">
        <v>14855</v>
      </c>
      <c r="S50" s="15">
        <f t="shared" si="7"/>
        <v>1873</v>
      </c>
      <c r="T50" s="15">
        <f t="shared" si="4"/>
        <v>184978</v>
      </c>
      <c r="U50" s="15">
        <v>16728</v>
      </c>
      <c r="V50" s="15">
        <f t="shared" si="1"/>
        <v>0</v>
      </c>
      <c r="W50" s="11"/>
    </row>
    <row r="51" spans="1:23" x14ac:dyDescent="0.25">
      <c r="A51" s="17" t="s">
        <v>1249</v>
      </c>
      <c r="B51" s="28">
        <v>46060</v>
      </c>
      <c r="C51" s="15">
        <v>68117.45</v>
      </c>
      <c r="D51" s="15">
        <f t="shared" ref="D51:D58" si="10">F51+G51-C51</f>
        <v>7319.5500000000029</v>
      </c>
      <c r="E51" s="15">
        <f t="shared" si="3"/>
        <v>788807.700000001</v>
      </c>
      <c r="F51" s="15">
        <v>75437</v>
      </c>
      <c r="G51" s="15">
        <f t="shared" si="0"/>
        <v>0</v>
      </c>
      <c r="H51" s="446">
        <f t="shared" si="8"/>
        <v>27923.792580000034</v>
      </c>
      <c r="I51" s="15">
        <f t="shared" si="9"/>
        <v>197201.92500000025</v>
      </c>
      <c r="L51">
        <v>122566</v>
      </c>
      <c r="P51" s="17" t="s">
        <v>1249</v>
      </c>
      <c r="Q51" s="28">
        <v>44713</v>
      </c>
      <c r="R51" s="15">
        <v>14994</v>
      </c>
      <c r="S51" s="15">
        <f t="shared" ref="S51:S61" si="11">U51+V51-R51</f>
        <v>1734</v>
      </c>
      <c r="T51" s="15">
        <f t="shared" ref="T51:T62" si="12">T50-R51</f>
        <v>169984</v>
      </c>
      <c r="U51" s="15">
        <v>16728</v>
      </c>
      <c r="V51" s="15">
        <f t="shared" si="1"/>
        <v>0</v>
      </c>
    </row>
    <row r="52" spans="1:23" x14ac:dyDescent="0.25">
      <c r="A52" s="17" t="s">
        <v>1250</v>
      </c>
      <c r="B52" s="28">
        <v>46088</v>
      </c>
      <c r="C52" s="15">
        <v>68699.28</v>
      </c>
      <c r="D52" s="15">
        <f t="shared" si="10"/>
        <v>6737.7200000000012</v>
      </c>
      <c r="E52" s="15">
        <f t="shared" si="3"/>
        <v>720108.42000000097</v>
      </c>
      <c r="F52" s="15">
        <v>75437</v>
      </c>
      <c r="G52" s="15">
        <f t="shared" si="0"/>
        <v>0</v>
      </c>
      <c r="H52" s="446">
        <f t="shared" si="8"/>
        <v>25491.838068000034</v>
      </c>
      <c r="I52" s="15"/>
      <c r="L52">
        <v>175116</v>
      </c>
      <c r="M52">
        <f>L52-L51</f>
        <v>52550</v>
      </c>
      <c r="P52" s="17" t="s">
        <v>1250</v>
      </c>
      <c r="Q52" s="28">
        <v>44743</v>
      </c>
      <c r="R52" s="15">
        <v>15134</v>
      </c>
      <c r="S52" s="15">
        <f t="shared" si="11"/>
        <v>1594</v>
      </c>
      <c r="T52" s="15">
        <f t="shared" si="12"/>
        <v>154850</v>
      </c>
      <c r="U52" s="15">
        <v>16728</v>
      </c>
      <c r="V52" s="15">
        <f t="shared" si="1"/>
        <v>0</v>
      </c>
    </row>
    <row r="53" spans="1:23" x14ac:dyDescent="0.25">
      <c r="A53" s="17" t="s">
        <v>1251</v>
      </c>
      <c r="B53" s="28">
        <v>46119</v>
      </c>
      <c r="C53" s="15">
        <v>69286.09</v>
      </c>
      <c r="D53" s="15">
        <f t="shared" si="10"/>
        <v>6150.9100000000035</v>
      </c>
      <c r="E53" s="15">
        <f t="shared" si="3"/>
        <v>650822.33000000101</v>
      </c>
      <c r="F53" s="15">
        <v>75437</v>
      </c>
      <c r="G53" s="15">
        <f t="shared" si="0"/>
        <v>0</v>
      </c>
      <c r="H53" s="446">
        <f t="shared" si="8"/>
        <v>23039.110482000036</v>
      </c>
      <c r="I53" s="15"/>
      <c r="M53">
        <f>M52/60</f>
        <v>875.83333333333337</v>
      </c>
      <c r="P53" s="17" t="s">
        <v>1251</v>
      </c>
      <c r="Q53" s="28">
        <v>44774</v>
      </c>
      <c r="R53" s="15">
        <v>15276</v>
      </c>
      <c r="S53" s="15">
        <f t="shared" si="11"/>
        <v>1452</v>
      </c>
      <c r="T53" s="15">
        <f t="shared" si="12"/>
        <v>139574</v>
      </c>
      <c r="U53" s="15">
        <v>16728</v>
      </c>
      <c r="V53" s="15">
        <f t="shared" si="1"/>
        <v>0</v>
      </c>
    </row>
    <row r="54" spans="1:23" x14ac:dyDescent="0.25">
      <c r="A54" s="17" t="s">
        <v>1252</v>
      </c>
      <c r="B54" s="28">
        <v>46149</v>
      </c>
      <c r="C54" s="15">
        <v>69877.899999999994</v>
      </c>
      <c r="D54" s="15">
        <f t="shared" si="10"/>
        <v>5559.1000000000058</v>
      </c>
      <c r="E54" s="15">
        <f t="shared" si="3"/>
        <v>580944.43000000098</v>
      </c>
      <c r="F54" s="15">
        <v>75437</v>
      </c>
      <c r="G54" s="15">
        <f t="shared" si="0"/>
        <v>0</v>
      </c>
      <c r="H54" s="446">
        <f t="shared" si="8"/>
        <v>20565.432822000032</v>
      </c>
      <c r="I54" s="15"/>
      <c r="K54">
        <v>575008</v>
      </c>
      <c r="L54">
        <v>11</v>
      </c>
      <c r="P54" s="17" t="s">
        <v>1252</v>
      </c>
      <c r="Q54" s="28">
        <v>44805</v>
      </c>
      <c r="R54" s="15">
        <v>15419</v>
      </c>
      <c r="S54" s="15">
        <f t="shared" si="11"/>
        <v>1309</v>
      </c>
      <c r="T54" s="15">
        <f t="shared" si="12"/>
        <v>124155</v>
      </c>
      <c r="U54" s="15">
        <v>16728</v>
      </c>
      <c r="V54" s="15">
        <f t="shared" si="1"/>
        <v>0</v>
      </c>
    </row>
    <row r="55" spans="1:23" x14ac:dyDescent="0.25">
      <c r="A55" s="17" t="s">
        <v>1253</v>
      </c>
      <c r="B55" s="28">
        <v>46180</v>
      </c>
      <c r="C55" s="15">
        <v>70474.78</v>
      </c>
      <c r="D55" s="15">
        <f t="shared" si="10"/>
        <v>4962.2200000000012</v>
      </c>
      <c r="E55" s="15">
        <f t="shared" si="3"/>
        <v>510469.65000000095</v>
      </c>
      <c r="F55" s="15">
        <v>75437</v>
      </c>
      <c r="G55" s="15">
        <f t="shared" si="0"/>
        <v>0</v>
      </c>
      <c r="H55" s="446">
        <f t="shared" si="8"/>
        <v>18070.625610000036</v>
      </c>
      <c r="I55" s="15"/>
      <c r="P55" s="17" t="s">
        <v>1253</v>
      </c>
      <c r="Q55" s="28">
        <v>44835</v>
      </c>
      <c r="R55" s="15">
        <v>15564</v>
      </c>
      <c r="S55" s="15">
        <f t="shared" si="11"/>
        <v>1164</v>
      </c>
      <c r="T55" s="15">
        <f t="shared" si="12"/>
        <v>108591</v>
      </c>
      <c r="U55" s="15">
        <v>16728</v>
      </c>
      <c r="V55" s="15">
        <f t="shared" si="1"/>
        <v>0</v>
      </c>
    </row>
    <row r="56" spans="1:23" x14ac:dyDescent="0.25">
      <c r="A56" s="17" t="s">
        <v>1254</v>
      </c>
      <c r="B56" s="28">
        <v>46210</v>
      </c>
      <c r="C56" s="15">
        <v>71076.75</v>
      </c>
      <c r="D56" s="15">
        <f t="shared" si="10"/>
        <v>4360.25</v>
      </c>
      <c r="E56" s="15">
        <f t="shared" si="3"/>
        <v>439392.90000000095</v>
      </c>
      <c r="F56" s="15">
        <v>75437</v>
      </c>
      <c r="G56" s="15">
        <f t="shared" si="0"/>
        <v>0</v>
      </c>
      <c r="H56" s="446">
        <f t="shared" si="8"/>
        <v>15554.508660000034</v>
      </c>
      <c r="I56" s="15"/>
      <c r="P56" s="17" t="s">
        <v>1254</v>
      </c>
      <c r="Q56" s="28">
        <v>44866</v>
      </c>
      <c r="R56" s="15">
        <v>15710</v>
      </c>
      <c r="S56" s="15">
        <f t="shared" si="11"/>
        <v>1018</v>
      </c>
      <c r="T56" s="15">
        <f t="shared" si="12"/>
        <v>92881</v>
      </c>
      <c r="U56" s="15">
        <v>16728</v>
      </c>
      <c r="V56" s="15">
        <f t="shared" si="1"/>
        <v>0</v>
      </c>
    </row>
    <row r="57" spans="1:23" x14ac:dyDescent="0.25">
      <c r="A57" s="17" t="s">
        <v>1255</v>
      </c>
      <c r="B57" s="28">
        <v>46241</v>
      </c>
      <c r="C57" s="15">
        <v>71683.86</v>
      </c>
      <c r="D57" s="15">
        <f t="shared" si="10"/>
        <v>3753.1399999999994</v>
      </c>
      <c r="E57" s="15">
        <f t="shared" si="3"/>
        <v>367709.04000000097</v>
      </c>
      <c r="F57" s="15">
        <v>75437</v>
      </c>
      <c r="G57" s="15">
        <f t="shared" si="0"/>
        <v>0</v>
      </c>
      <c r="H57" s="446">
        <f t="shared" si="8"/>
        <v>13016.900016000034</v>
      </c>
      <c r="I57" s="15"/>
      <c r="P57" s="17" t="s">
        <v>1255</v>
      </c>
      <c r="Q57" s="28">
        <v>44896</v>
      </c>
      <c r="R57" s="15">
        <v>15857</v>
      </c>
      <c r="S57" s="15">
        <f t="shared" si="11"/>
        <v>871</v>
      </c>
      <c r="T57" s="15">
        <f t="shared" si="12"/>
        <v>77024</v>
      </c>
      <c r="U57" s="15">
        <v>16728</v>
      </c>
      <c r="V57" s="15">
        <f t="shared" si="1"/>
        <v>0</v>
      </c>
    </row>
    <row r="58" spans="1:23" x14ac:dyDescent="0.25">
      <c r="A58" s="17" t="s">
        <v>1256</v>
      </c>
      <c r="B58" s="28">
        <v>46272</v>
      </c>
      <c r="C58" s="15">
        <v>72296.160000000003</v>
      </c>
      <c r="D58" s="15">
        <f t="shared" si="10"/>
        <v>3140.8399999999965</v>
      </c>
      <c r="E58" s="15">
        <f t="shared" si="3"/>
        <v>295412.88000000094</v>
      </c>
      <c r="F58" s="15">
        <v>75437</v>
      </c>
      <c r="G58" s="15">
        <f t="shared" si="0"/>
        <v>0</v>
      </c>
      <c r="H58" s="446">
        <f t="shared" si="8"/>
        <v>10457.615952000033</v>
      </c>
      <c r="I58" s="15"/>
      <c r="P58" s="17" t="s">
        <v>1256</v>
      </c>
      <c r="Q58" s="28">
        <v>44927</v>
      </c>
      <c r="R58" s="15">
        <v>16006</v>
      </c>
      <c r="S58" s="15">
        <f t="shared" si="11"/>
        <v>722</v>
      </c>
      <c r="T58" s="15">
        <f t="shared" si="12"/>
        <v>61018</v>
      </c>
      <c r="U58" s="15">
        <v>16728</v>
      </c>
      <c r="V58" s="15">
        <f t="shared" si="1"/>
        <v>0</v>
      </c>
    </row>
    <row r="59" spans="1:23" x14ac:dyDescent="0.25">
      <c r="A59" s="17" t="s">
        <v>1257</v>
      </c>
      <c r="B59" s="28">
        <v>46302</v>
      </c>
      <c r="C59" s="15">
        <v>72913.69</v>
      </c>
      <c r="D59" s="15">
        <f t="shared" ref="D59:D62" si="13">F59+G59-C59</f>
        <v>2523.3099999999977</v>
      </c>
      <c r="E59" s="15">
        <f t="shared" si="3"/>
        <v>222499.19000000093</v>
      </c>
      <c r="F59" s="15">
        <v>75437</v>
      </c>
      <c r="G59" s="15">
        <f t="shared" si="0"/>
        <v>0</v>
      </c>
      <c r="H59" s="446">
        <f t="shared" si="8"/>
        <v>7876.4713260000335</v>
      </c>
      <c r="I59" s="15"/>
      <c r="P59" s="17" t="s">
        <v>1257</v>
      </c>
      <c r="Q59" s="28">
        <v>44958</v>
      </c>
      <c r="R59" s="15">
        <v>16156</v>
      </c>
      <c r="S59" s="15">
        <f t="shared" si="11"/>
        <v>572</v>
      </c>
      <c r="T59" s="15">
        <f t="shared" si="12"/>
        <v>44862</v>
      </c>
      <c r="U59" s="15">
        <v>16728</v>
      </c>
      <c r="V59" s="15">
        <f t="shared" si="1"/>
        <v>0</v>
      </c>
    </row>
    <row r="60" spans="1:23" x14ac:dyDescent="0.25">
      <c r="A60" s="17" t="s">
        <v>1258</v>
      </c>
      <c r="B60" s="28">
        <v>46333</v>
      </c>
      <c r="C60" s="15">
        <v>73536.490000000005</v>
      </c>
      <c r="D60" s="15">
        <f t="shared" si="13"/>
        <v>1900.5099999999948</v>
      </c>
      <c r="E60" s="15">
        <f t="shared" si="3"/>
        <v>148962.70000000094</v>
      </c>
      <c r="F60" s="15">
        <v>75437</v>
      </c>
      <c r="G60" s="15">
        <f t="shared" si="0"/>
        <v>0</v>
      </c>
      <c r="H60" s="446">
        <f t="shared" si="8"/>
        <v>5273.279580000034</v>
      </c>
      <c r="I60" s="15"/>
      <c r="P60" s="17" t="s">
        <v>1258</v>
      </c>
      <c r="Q60" s="28">
        <v>44986</v>
      </c>
      <c r="R60" s="15">
        <v>16307</v>
      </c>
      <c r="S60" s="15">
        <f t="shared" si="11"/>
        <v>421</v>
      </c>
      <c r="T60" s="15">
        <f t="shared" si="12"/>
        <v>28555</v>
      </c>
      <c r="U60" s="15">
        <v>16728</v>
      </c>
      <c r="V60" s="15">
        <f t="shared" si="1"/>
        <v>0</v>
      </c>
    </row>
    <row r="61" spans="1:23" x14ac:dyDescent="0.25">
      <c r="A61" s="17" t="s">
        <v>1259</v>
      </c>
      <c r="B61" s="28">
        <v>46363</v>
      </c>
      <c r="C61" s="15">
        <v>74164.61</v>
      </c>
      <c r="D61" s="15">
        <f t="shared" si="13"/>
        <v>1272.3899999999994</v>
      </c>
      <c r="E61" s="15">
        <f t="shared" si="3"/>
        <v>74798.090000000942</v>
      </c>
      <c r="F61" s="15">
        <v>75437</v>
      </c>
      <c r="G61" s="15">
        <f t="shared" si="0"/>
        <v>0</v>
      </c>
      <c r="H61" s="446">
        <f t="shared" si="8"/>
        <v>2647.8523860000332</v>
      </c>
      <c r="I61" s="15"/>
      <c r="P61" s="17" t="s">
        <v>1259</v>
      </c>
      <c r="Q61" s="28">
        <v>45017</v>
      </c>
      <c r="R61" s="15">
        <v>16460</v>
      </c>
      <c r="S61" s="15">
        <f t="shared" si="11"/>
        <v>268</v>
      </c>
      <c r="T61" s="15">
        <f t="shared" si="12"/>
        <v>12095</v>
      </c>
      <c r="U61" s="15">
        <v>16728</v>
      </c>
      <c r="V61" s="15">
        <f t="shared" si="1"/>
        <v>0</v>
      </c>
    </row>
    <row r="62" spans="1:23" x14ac:dyDescent="0.25">
      <c r="A62" s="17" t="s">
        <v>1260</v>
      </c>
      <c r="B62" s="28">
        <v>46394</v>
      </c>
      <c r="C62" s="15">
        <v>74798.09</v>
      </c>
      <c r="D62" s="15">
        <f t="shared" si="13"/>
        <v>638.91000000000349</v>
      </c>
      <c r="E62" s="15">
        <f t="shared" si="3"/>
        <v>9.4587448984384537E-10</v>
      </c>
      <c r="F62" s="15">
        <v>75437</v>
      </c>
      <c r="G62" s="15">
        <f t="shared" si="0"/>
        <v>0</v>
      </c>
      <c r="H62" s="446">
        <f t="shared" si="8"/>
        <v>3.3483956940472128E-11</v>
      </c>
      <c r="I62" s="15"/>
      <c r="P62" s="17" t="s">
        <v>1260</v>
      </c>
      <c r="Q62" s="28">
        <v>45047</v>
      </c>
      <c r="R62" s="15">
        <v>12095</v>
      </c>
      <c r="S62" s="15">
        <v>113</v>
      </c>
      <c r="T62" s="15">
        <f t="shared" si="12"/>
        <v>0</v>
      </c>
      <c r="U62" s="15">
        <v>12208</v>
      </c>
      <c r="V62" s="15">
        <f>12208-U62</f>
        <v>0</v>
      </c>
    </row>
    <row r="63" spans="1:23" x14ac:dyDescent="0.25">
      <c r="A63" s="17"/>
      <c r="B63" s="28"/>
      <c r="C63" s="15"/>
      <c r="D63" s="15"/>
      <c r="E63" s="15"/>
      <c r="F63" s="15"/>
      <c r="G63" s="15"/>
      <c r="H63" s="15"/>
    </row>
    <row r="64" spans="1:23" x14ac:dyDescent="0.25">
      <c r="A64" s="17"/>
      <c r="B64" s="28"/>
      <c r="C64" s="15"/>
      <c r="D64" s="15"/>
      <c r="E64" s="15"/>
      <c r="F64" s="15"/>
      <c r="G64" s="15"/>
      <c r="H64" s="15"/>
    </row>
    <row r="65" spans="1:17" x14ac:dyDescent="0.25">
      <c r="A65" s="17"/>
      <c r="B65" s="28"/>
      <c r="C65" s="15"/>
      <c r="D65" s="15"/>
      <c r="E65" s="15"/>
      <c r="F65" s="15"/>
      <c r="G65" s="15"/>
      <c r="H65" s="15"/>
    </row>
    <row r="66" spans="1:17" x14ac:dyDescent="0.25">
      <c r="A66" s="17"/>
      <c r="B66" s="28"/>
      <c r="C66" s="15"/>
      <c r="D66" s="15"/>
      <c r="E66" s="15"/>
      <c r="F66" s="15"/>
      <c r="G66" s="15"/>
      <c r="H66" s="15"/>
    </row>
    <row r="67" spans="1:17" x14ac:dyDescent="0.25">
      <c r="A67" s="17"/>
      <c r="B67" s="28"/>
      <c r="C67" s="15"/>
      <c r="D67" s="15"/>
      <c r="E67" s="15"/>
      <c r="F67" s="15"/>
      <c r="G67" s="15"/>
      <c r="H67" s="15"/>
    </row>
    <row r="68" spans="1:17" x14ac:dyDescent="0.25">
      <c r="A68" s="17"/>
      <c r="B68" s="28"/>
      <c r="C68" s="15"/>
      <c r="D68" s="15"/>
      <c r="E68" s="15"/>
      <c r="F68" s="15"/>
      <c r="G68" s="15"/>
      <c r="H68" s="15"/>
      <c r="K68" s="1"/>
      <c r="L68" s="17" t="s">
        <v>352</v>
      </c>
      <c r="M68" s="17" t="s">
        <v>17</v>
      </c>
      <c r="N68" s="17" t="s">
        <v>554</v>
      </c>
    </row>
    <row r="69" spans="1:17" x14ac:dyDescent="0.25">
      <c r="A69" s="17"/>
      <c r="B69" s="28"/>
      <c r="C69" s="15"/>
      <c r="D69" s="15"/>
      <c r="E69" s="15"/>
      <c r="F69" s="15"/>
      <c r="G69" s="15"/>
      <c r="H69" s="15"/>
      <c r="K69" s="1" t="s">
        <v>1261</v>
      </c>
      <c r="L69" s="120">
        <v>1657844</v>
      </c>
      <c r="M69" s="120">
        <v>296080.7</v>
      </c>
      <c r="N69" s="120">
        <v>3</v>
      </c>
      <c r="O69" s="24"/>
    </row>
    <row r="70" spans="1:17" x14ac:dyDescent="0.25">
      <c r="A70" s="17"/>
      <c r="B70" s="28"/>
      <c r="C70" s="15"/>
      <c r="D70" s="15"/>
      <c r="E70" s="15"/>
      <c r="F70" s="15"/>
      <c r="G70" s="15"/>
      <c r="H70" s="15"/>
      <c r="K70" s="1" t="s">
        <v>1262</v>
      </c>
      <c r="L70" s="120">
        <v>1820000</v>
      </c>
      <c r="M70" s="120">
        <v>433053.2</v>
      </c>
      <c r="N70" s="120">
        <v>4</v>
      </c>
      <c r="O70" s="24"/>
      <c r="Q70" s="119">
        <f>L70-L69</f>
        <v>162156</v>
      </c>
    </row>
    <row r="71" spans="1:17" x14ac:dyDescent="0.25">
      <c r="A71" s="17"/>
      <c r="B71" s="28"/>
      <c r="C71" s="15"/>
      <c r="D71" s="15"/>
      <c r="E71" s="15"/>
      <c r="F71" s="15"/>
      <c r="G71" s="15"/>
      <c r="H71" s="15"/>
      <c r="K71" s="1"/>
      <c r="L71" s="120">
        <v>142156</v>
      </c>
      <c r="M71" s="120">
        <v>34200.6</v>
      </c>
      <c r="N71" s="120">
        <v>4</v>
      </c>
      <c r="O71" s="24"/>
      <c r="P71">
        <f>L71*1.5/100</f>
        <v>2132.34</v>
      </c>
    </row>
    <row r="72" spans="1:17" x14ac:dyDescent="0.25">
      <c r="A72" s="17"/>
      <c r="B72" s="28"/>
      <c r="C72" s="15"/>
      <c r="D72" s="15"/>
      <c r="E72" s="15"/>
      <c r="F72" s="15"/>
      <c r="G72" s="15"/>
      <c r="H72" s="15"/>
      <c r="K72" s="1"/>
      <c r="L72" s="120">
        <v>1657844</v>
      </c>
      <c r="M72" s="120">
        <v>398852.5</v>
      </c>
      <c r="N72" s="120">
        <v>4</v>
      </c>
      <c r="O72" s="24"/>
    </row>
    <row r="73" spans="1:17" x14ac:dyDescent="0.25">
      <c r="A73" s="17"/>
      <c r="B73" s="28"/>
      <c r="C73" s="15"/>
      <c r="D73" s="15"/>
      <c r="E73" s="15"/>
      <c r="F73" s="15"/>
      <c r="G73" s="15"/>
      <c r="H73" s="15"/>
      <c r="K73" s="1"/>
      <c r="L73" s="120"/>
      <c r="M73" s="120"/>
      <c r="N73" s="120"/>
      <c r="O73" s="24"/>
    </row>
    <row r="74" spans="1:17" x14ac:dyDescent="0.25">
      <c r="A74" s="17"/>
      <c r="B74" s="28"/>
      <c r="C74" s="15"/>
      <c r="D74" s="15"/>
      <c r="E74" s="15"/>
      <c r="F74" s="15"/>
      <c r="G74" s="15"/>
      <c r="H74" s="15"/>
      <c r="K74" s="1"/>
      <c r="L74" s="120"/>
      <c r="M74" s="120"/>
      <c r="N74" s="120"/>
      <c r="O74" s="24"/>
    </row>
    <row r="75" spans="1:17" x14ac:dyDescent="0.25">
      <c r="A75" s="17"/>
      <c r="B75" s="28"/>
      <c r="C75" s="15"/>
      <c r="D75" s="15"/>
      <c r="E75" s="15"/>
      <c r="F75" s="15"/>
      <c r="G75" s="15"/>
      <c r="H75" s="15"/>
      <c r="K75" s="1"/>
      <c r="L75" s="120"/>
      <c r="M75" s="120"/>
      <c r="N75" s="120"/>
    </row>
    <row r="76" spans="1:17" x14ac:dyDescent="0.25">
      <c r="A76" s="17"/>
      <c r="B76" s="28"/>
      <c r="C76" s="15"/>
      <c r="D76" s="15"/>
      <c r="E76" s="15"/>
      <c r="F76" s="15"/>
      <c r="G76" s="15"/>
      <c r="H76" s="15"/>
      <c r="K76" s="1"/>
      <c r="L76" s="120"/>
      <c r="M76" s="120"/>
      <c r="N76" s="120"/>
    </row>
    <row r="77" spans="1:17" x14ac:dyDescent="0.25">
      <c r="A77" s="17"/>
      <c r="B77" s="28"/>
      <c r="C77" s="15"/>
      <c r="D77" s="15"/>
      <c r="E77" s="15"/>
      <c r="F77" s="15"/>
      <c r="G77" s="15"/>
      <c r="H77" s="15"/>
      <c r="K77" s="1"/>
      <c r="L77" s="120"/>
      <c r="M77" s="120"/>
      <c r="N77" s="120"/>
    </row>
    <row r="78" spans="1:17" x14ac:dyDescent="0.25">
      <c r="A78" s="17"/>
      <c r="B78" s="28"/>
      <c r="C78" s="15"/>
      <c r="D78" s="15"/>
      <c r="E78" s="15"/>
      <c r="F78" s="15"/>
      <c r="G78" s="15"/>
      <c r="H78" s="15"/>
    </row>
    <row r="79" spans="1:17" x14ac:dyDescent="0.25">
      <c r="A79" s="17"/>
      <c r="B79" s="28"/>
      <c r="C79" s="15"/>
      <c r="D79" s="15"/>
      <c r="E79" s="15"/>
      <c r="F79" s="15"/>
      <c r="G79" s="15"/>
      <c r="H79" s="15"/>
    </row>
    <row r="80" spans="1:17" x14ac:dyDescent="0.25">
      <c r="A80" s="17"/>
      <c r="B80" s="28"/>
      <c r="C80" s="15"/>
      <c r="D80" s="15"/>
      <c r="E80" s="15"/>
      <c r="F80" s="15"/>
      <c r="G80" s="15"/>
      <c r="H80" s="15"/>
    </row>
    <row r="81" spans="1:18" x14ac:dyDescent="0.25">
      <c r="A81" s="17"/>
      <c r="B81" s="28"/>
      <c r="C81" s="15"/>
      <c r="D81" s="15"/>
      <c r="E81" s="15"/>
      <c r="F81" s="15"/>
      <c r="G81" s="15"/>
      <c r="H81" s="15"/>
    </row>
    <row r="82" spans="1:18" x14ac:dyDescent="0.25">
      <c r="A82" s="17"/>
      <c r="B82" s="28"/>
      <c r="C82" s="15"/>
      <c r="D82" s="15"/>
      <c r="E82" s="15"/>
      <c r="F82" s="15"/>
      <c r="G82" s="15"/>
      <c r="H82" s="15"/>
      <c r="Q82">
        <v>700000</v>
      </c>
      <c r="R82">
        <v>13</v>
      </c>
    </row>
    <row r="83" spans="1:18" x14ac:dyDescent="0.25">
      <c r="A83" s="17"/>
      <c r="B83" s="28"/>
      <c r="C83" s="15"/>
      <c r="D83" s="15"/>
      <c r="E83" s="15"/>
      <c r="F83" s="15"/>
      <c r="G83" s="15"/>
      <c r="H83" s="15"/>
      <c r="Q83">
        <f>Q82/48</f>
        <v>14583.333333333334</v>
      </c>
    </row>
    <row r="84" spans="1:18" x14ac:dyDescent="0.25">
      <c r="A84" s="17"/>
      <c r="B84" s="28"/>
      <c r="C84" s="15"/>
      <c r="D84" s="15"/>
      <c r="E84" s="15"/>
      <c r="F84" s="15"/>
      <c r="G84" s="15"/>
      <c r="H84" s="15"/>
    </row>
    <row r="85" spans="1:18" x14ac:dyDescent="0.25">
      <c r="A85" s="17"/>
      <c r="B85" s="28"/>
      <c r="C85" s="15"/>
      <c r="D85" s="15"/>
      <c r="E85" s="15"/>
      <c r="F85" s="15"/>
      <c r="G85" s="15"/>
      <c r="H85" s="15"/>
    </row>
    <row r="86" spans="1:18" x14ac:dyDescent="0.25">
      <c r="A86" s="17"/>
      <c r="B86" s="28"/>
      <c r="C86" s="15"/>
      <c r="D86" s="15"/>
      <c r="E86" s="15"/>
      <c r="F86" s="15"/>
      <c r="G86" s="15"/>
      <c r="H86" s="15"/>
    </row>
    <row r="87" spans="1:18" x14ac:dyDescent="0.25">
      <c r="A87" s="17"/>
      <c r="B87" s="28"/>
      <c r="C87" s="15"/>
      <c r="D87" s="15"/>
      <c r="E87" s="15"/>
      <c r="F87" s="15"/>
      <c r="G87" s="15"/>
      <c r="H87" s="15"/>
    </row>
    <row r="88" spans="1:18" x14ac:dyDescent="0.25">
      <c r="A88" s="17"/>
      <c r="B88" s="28"/>
      <c r="C88" s="15"/>
      <c r="D88" s="15"/>
      <c r="E88" s="15"/>
      <c r="F88" s="15"/>
      <c r="G88" s="15"/>
      <c r="H88" s="15"/>
    </row>
    <row r="89" spans="1:18" x14ac:dyDescent="0.25">
      <c r="A89" s="17"/>
      <c r="B89" s="28"/>
      <c r="C89" s="15"/>
      <c r="D89" s="15"/>
      <c r="E89" s="15"/>
      <c r="F89" s="15"/>
      <c r="G89" s="15"/>
      <c r="H89" s="15"/>
      <c r="K89" t="s">
        <v>352</v>
      </c>
      <c r="L89">
        <v>250000</v>
      </c>
    </row>
    <row r="90" spans="1:18" x14ac:dyDescent="0.25">
      <c r="A90" s="17"/>
      <c r="B90" s="28"/>
      <c r="C90" s="15"/>
      <c r="D90" s="15"/>
      <c r="E90" s="15"/>
      <c r="F90" s="15"/>
      <c r="G90" s="15"/>
      <c r="H90" s="15"/>
      <c r="K90" t="s">
        <v>367</v>
      </c>
      <c r="L90">
        <v>3000</v>
      </c>
    </row>
    <row r="91" spans="1:18" x14ac:dyDescent="0.25">
      <c r="A91" s="17"/>
      <c r="B91" s="28"/>
      <c r="C91" s="15"/>
      <c r="D91" s="15"/>
      <c r="E91" s="15"/>
      <c r="F91" s="15"/>
      <c r="G91" s="15"/>
      <c r="H91" s="15"/>
      <c r="K91" t="s">
        <v>1263</v>
      </c>
      <c r="L91">
        <v>328896.71999999997</v>
      </c>
    </row>
    <row r="92" spans="1:18" x14ac:dyDescent="0.25">
      <c r="A92" s="17"/>
      <c r="B92" s="28"/>
      <c r="C92" s="15"/>
      <c r="D92" s="15"/>
      <c r="E92" s="15"/>
      <c r="F92" s="15"/>
      <c r="G92" s="15"/>
      <c r="H92" s="15"/>
      <c r="K92" t="s">
        <v>1264</v>
      </c>
      <c r="L92">
        <f>L91-L89+L90</f>
        <v>81896.719999999972</v>
      </c>
    </row>
    <row r="93" spans="1:18" x14ac:dyDescent="0.25">
      <c r="A93" s="17"/>
      <c r="B93" s="28"/>
      <c r="C93" s="15"/>
      <c r="D93" s="15"/>
      <c r="E93" s="15"/>
      <c r="F93" s="15"/>
      <c r="G93" s="15"/>
      <c r="H93" s="15"/>
      <c r="L93">
        <f>L92/36</f>
        <v>2274.9088888888882</v>
      </c>
    </row>
    <row r="94" spans="1:18" x14ac:dyDescent="0.25">
      <c r="A94" s="17"/>
      <c r="B94" s="28"/>
      <c r="C94" s="15"/>
      <c r="D94" s="15"/>
      <c r="E94" s="15"/>
      <c r="F94" s="15"/>
      <c r="G94" s="15"/>
      <c r="H94" s="15"/>
    </row>
    <row r="95" spans="1:18" x14ac:dyDescent="0.25">
      <c r="K95" t="s">
        <v>1265</v>
      </c>
      <c r="L95">
        <v>81896.72</v>
      </c>
    </row>
    <row r="101" spans="5:11" x14ac:dyDescent="0.25">
      <c r="K101">
        <v>331896.71999999997</v>
      </c>
    </row>
    <row r="102" spans="5:11" x14ac:dyDescent="0.25">
      <c r="K102">
        <v>-250000</v>
      </c>
    </row>
    <row r="103" spans="5:11" x14ac:dyDescent="0.25">
      <c r="K103">
        <f>K102+K101</f>
        <v>81896.719999999972</v>
      </c>
    </row>
    <row r="104" spans="5:11" x14ac:dyDescent="0.25">
      <c r="K104">
        <f>K103/36</f>
        <v>2274.9088888888882</v>
      </c>
    </row>
    <row r="112" spans="5:11" x14ac:dyDescent="0.25">
      <c r="E112">
        <v>240000</v>
      </c>
      <c r="F112">
        <f>E112*16/1200</f>
        <v>3200</v>
      </c>
      <c r="G112">
        <f>E112/48</f>
        <v>5000</v>
      </c>
      <c r="H112">
        <v>8200</v>
      </c>
    </row>
    <row r="113" spans="1:8" x14ac:dyDescent="0.25">
      <c r="E113">
        <v>235000</v>
      </c>
      <c r="F113">
        <f>E113*16/1200</f>
        <v>3133.3333333333335</v>
      </c>
      <c r="G113">
        <f>H113-F113</f>
        <v>5066.6666666666661</v>
      </c>
      <c r="H113">
        <v>8200</v>
      </c>
    </row>
    <row r="114" spans="1:8" x14ac:dyDescent="0.25">
      <c r="A114" s="26"/>
      <c r="B114" s="164"/>
      <c r="C114" s="11"/>
      <c r="D114" s="11"/>
      <c r="E114" s="11"/>
      <c r="F114" s="11"/>
      <c r="G114" s="11"/>
    </row>
    <row r="115" spans="1:8" x14ac:dyDescent="0.25">
      <c r="A115" s="26"/>
      <c r="B115" s="164"/>
      <c r="C115" s="11"/>
      <c r="D115" s="11"/>
      <c r="E115" s="11"/>
      <c r="F115" s="11"/>
      <c r="G115" s="11"/>
    </row>
    <row r="116" spans="1:8" x14ac:dyDescent="0.25">
      <c r="A116" s="17" t="s">
        <v>352</v>
      </c>
      <c r="B116" s="17"/>
      <c r="C116" s="15">
        <v>250000</v>
      </c>
      <c r="D116" s="15"/>
      <c r="E116" s="15"/>
      <c r="F116" s="1"/>
      <c r="G116" s="1"/>
      <c r="H116" s="1"/>
    </row>
    <row r="117" spans="1:8" x14ac:dyDescent="0.25">
      <c r="A117" s="17"/>
      <c r="B117" s="17"/>
      <c r="C117" s="38" t="s">
        <v>352</v>
      </c>
      <c r="D117" s="38" t="s">
        <v>17</v>
      </c>
      <c r="E117" s="38" t="s">
        <v>499</v>
      </c>
      <c r="F117" s="38" t="s">
        <v>254</v>
      </c>
      <c r="G117" s="38" t="s">
        <v>18</v>
      </c>
      <c r="H117" s="38" t="s">
        <v>15</v>
      </c>
    </row>
    <row r="118" spans="1:8" x14ac:dyDescent="0.25">
      <c r="A118" s="172" t="s">
        <v>1266</v>
      </c>
      <c r="B118" s="40">
        <v>43435</v>
      </c>
      <c r="C118" s="35">
        <v>0</v>
      </c>
      <c r="D118" s="35">
        <v>3000</v>
      </c>
      <c r="E118" s="35">
        <v>250000</v>
      </c>
      <c r="F118" s="35">
        <f>D118*18/100</f>
        <v>540</v>
      </c>
      <c r="G118" s="15">
        <f t="shared" ref="G118:G123" si="14">C118+D118+F118</f>
        <v>3540</v>
      </c>
      <c r="H118" s="35"/>
    </row>
    <row r="119" spans="1:8" x14ac:dyDescent="0.25">
      <c r="A119" s="172" t="s">
        <v>1191</v>
      </c>
      <c r="B119" s="40">
        <v>43466</v>
      </c>
      <c r="C119" s="35">
        <v>5455.93</v>
      </c>
      <c r="D119" s="35">
        <f>8789-C119</f>
        <v>3333.0699999999997</v>
      </c>
      <c r="E119" s="35">
        <f t="shared" ref="E119:E153" si="15">E118-C119</f>
        <v>244544.07</v>
      </c>
      <c r="F119" s="35">
        <f>D119*18/100</f>
        <v>599.95259999999996</v>
      </c>
      <c r="G119" s="15">
        <f t="shared" si="14"/>
        <v>9388.9526000000005</v>
      </c>
      <c r="H119" s="35">
        <f>8789-G119</f>
        <v>-599.95260000000053</v>
      </c>
    </row>
    <row r="120" spans="1:8" x14ac:dyDescent="0.25">
      <c r="A120" s="17" t="s">
        <v>1193</v>
      </c>
      <c r="B120" s="40">
        <v>43497</v>
      </c>
      <c r="C120" s="15">
        <v>5528.67</v>
      </c>
      <c r="D120" s="15">
        <f t="shared" ref="D120:D154" si="16">8789-C120</f>
        <v>3260.33</v>
      </c>
      <c r="E120" s="15">
        <f t="shared" si="15"/>
        <v>239015.4</v>
      </c>
      <c r="F120" s="15">
        <f t="shared" ref="F120:F154" si="17">D120*18/100</f>
        <v>586.85940000000005</v>
      </c>
      <c r="G120" s="15">
        <f t="shared" si="14"/>
        <v>9375.8593999999994</v>
      </c>
      <c r="H120" s="15">
        <f t="shared" ref="H120:H154" si="18">8789-G120</f>
        <v>-586.85939999999937</v>
      </c>
    </row>
    <row r="121" spans="1:8" x14ac:dyDescent="0.25">
      <c r="A121" s="17" t="s">
        <v>1195</v>
      </c>
      <c r="B121" s="40">
        <v>43525</v>
      </c>
      <c r="C121" s="15">
        <v>5602.39</v>
      </c>
      <c r="D121" s="15">
        <f t="shared" si="16"/>
        <v>3186.6099999999997</v>
      </c>
      <c r="E121" s="15">
        <f t="shared" si="15"/>
        <v>233413.00999999998</v>
      </c>
      <c r="F121" s="15">
        <f t="shared" si="17"/>
        <v>573.58979999999997</v>
      </c>
      <c r="G121" s="15">
        <f t="shared" si="14"/>
        <v>9362.5897999999997</v>
      </c>
      <c r="H121" s="15">
        <f t="shared" si="18"/>
        <v>-573.58979999999974</v>
      </c>
    </row>
    <row r="122" spans="1:8" x14ac:dyDescent="0.25">
      <c r="A122" s="17" t="s">
        <v>1197</v>
      </c>
      <c r="B122" s="40">
        <v>43556</v>
      </c>
      <c r="C122" s="15">
        <v>5677.09</v>
      </c>
      <c r="D122" s="15">
        <f t="shared" si="16"/>
        <v>3111.91</v>
      </c>
      <c r="E122" s="15">
        <f t="shared" si="15"/>
        <v>227735.91999999998</v>
      </c>
      <c r="F122" s="15">
        <f t="shared" si="17"/>
        <v>560.14379999999994</v>
      </c>
      <c r="G122" s="15">
        <f t="shared" si="14"/>
        <v>9349.1437999999998</v>
      </c>
      <c r="H122" s="15">
        <f t="shared" si="18"/>
        <v>-560.14379999999983</v>
      </c>
    </row>
    <row r="123" spans="1:8" x14ac:dyDescent="0.25">
      <c r="A123" s="17" t="s">
        <v>1199</v>
      </c>
      <c r="B123" s="40">
        <v>43586</v>
      </c>
      <c r="C123" s="15">
        <v>5752.78</v>
      </c>
      <c r="D123" s="15">
        <f t="shared" si="16"/>
        <v>3036.2200000000003</v>
      </c>
      <c r="E123" s="15">
        <f t="shared" si="15"/>
        <v>221983.13999999998</v>
      </c>
      <c r="F123" s="15">
        <f t="shared" si="17"/>
        <v>546.51960000000008</v>
      </c>
      <c r="G123" s="15">
        <f t="shared" si="14"/>
        <v>9335.5195999999996</v>
      </c>
      <c r="H123" s="15">
        <f t="shared" si="18"/>
        <v>-546.51959999999963</v>
      </c>
    </row>
    <row r="124" spans="1:8" x14ac:dyDescent="0.25">
      <c r="A124" s="17" t="s">
        <v>1201</v>
      </c>
      <c r="B124" s="40">
        <v>43617</v>
      </c>
      <c r="C124" s="15">
        <v>5829.48</v>
      </c>
      <c r="D124" s="15">
        <f t="shared" si="16"/>
        <v>2959.5200000000004</v>
      </c>
      <c r="E124" s="15">
        <f t="shared" si="15"/>
        <v>216153.65999999997</v>
      </c>
      <c r="F124" s="15">
        <f t="shared" si="17"/>
        <v>532.71360000000004</v>
      </c>
      <c r="G124" s="15">
        <f>C124+D124+F124</f>
        <v>9321.7135999999991</v>
      </c>
      <c r="H124" s="15">
        <f t="shared" si="18"/>
        <v>-532.71359999999913</v>
      </c>
    </row>
    <row r="125" spans="1:8" x14ac:dyDescent="0.25">
      <c r="A125" s="17" t="s">
        <v>1203</v>
      </c>
      <c r="B125" s="40">
        <v>43647</v>
      </c>
      <c r="C125" s="15">
        <v>5907.21</v>
      </c>
      <c r="D125" s="15">
        <f t="shared" si="16"/>
        <v>2881.79</v>
      </c>
      <c r="E125" s="15">
        <f t="shared" si="15"/>
        <v>210246.44999999998</v>
      </c>
      <c r="F125" s="15">
        <f t="shared" si="17"/>
        <v>518.72220000000004</v>
      </c>
      <c r="G125" s="15">
        <v>9307.7199999999993</v>
      </c>
      <c r="H125" s="15">
        <f t="shared" si="18"/>
        <v>-518.71999999999935</v>
      </c>
    </row>
    <row r="126" spans="1:8" x14ac:dyDescent="0.25">
      <c r="A126" s="17" t="s">
        <v>1205</v>
      </c>
      <c r="B126" s="40">
        <v>43678</v>
      </c>
      <c r="C126" s="15">
        <v>5985.97</v>
      </c>
      <c r="D126" s="15">
        <f t="shared" si="16"/>
        <v>2803.0299999999997</v>
      </c>
      <c r="E126" s="15">
        <f t="shared" si="15"/>
        <v>204260.47999999998</v>
      </c>
      <c r="F126" s="15">
        <f t="shared" si="17"/>
        <v>504.54539999999992</v>
      </c>
      <c r="G126" s="15">
        <f>8789+F126</f>
        <v>9293.5453999999991</v>
      </c>
      <c r="H126" s="15">
        <f t="shared" si="18"/>
        <v>-504.54539999999906</v>
      </c>
    </row>
    <row r="127" spans="1:8" x14ac:dyDescent="0.25">
      <c r="A127" s="17" t="s">
        <v>1207</v>
      </c>
      <c r="B127" s="40">
        <v>43709</v>
      </c>
      <c r="C127" s="15">
        <v>6065.79</v>
      </c>
      <c r="D127" s="15">
        <f t="shared" si="16"/>
        <v>2723.21</v>
      </c>
      <c r="E127" s="15">
        <f t="shared" si="15"/>
        <v>198194.68999999997</v>
      </c>
      <c r="F127" s="15">
        <f t="shared" si="17"/>
        <v>490.17779999999999</v>
      </c>
      <c r="G127" s="15">
        <f t="shared" ref="G127:G154" si="19">8789+F127</f>
        <v>9279.1777999999995</v>
      </c>
      <c r="H127" s="15">
        <f t="shared" si="18"/>
        <v>-490.17779999999948</v>
      </c>
    </row>
    <row r="128" spans="1:8" x14ac:dyDescent="0.25">
      <c r="A128" s="17" t="s">
        <v>1208</v>
      </c>
      <c r="B128" s="40">
        <v>43739</v>
      </c>
      <c r="C128" s="15">
        <v>6146.66</v>
      </c>
      <c r="D128" s="15">
        <f t="shared" si="16"/>
        <v>2642.34</v>
      </c>
      <c r="E128" s="15">
        <f t="shared" si="15"/>
        <v>192048.02999999997</v>
      </c>
      <c r="F128" s="15">
        <f t="shared" si="17"/>
        <v>475.62120000000004</v>
      </c>
      <c r="G128" s="15">
        <f t="shared" si="19"/>
        <v>9264.6211999999996</v>
      </c>
      <c r="H128" s="15">
        <f t="shared" si="18"/>
        <v>-475.62119999999959</v>
      </c>
    </row>
    <row r="129" spans="1:8" x14ac:dyDescent="0.25">
      <c r="A129" s="17" t="s">
        <v>1209</v>
      </c>
      <c r="B129" s="40">
        <v>43770</v>
      </c>
      <c r="C129" s="15">
        <v>6228.62</v>
      </c>
      <c r="D129" s="15">
        <f t="shared" si="16"/>
        <v>2560.38</v>
      </c>
      <c r="E129" s="15">
        <f t="shared" si="15"/>
        <v>185819.40999999997</v>
      </c>
      <c r="F129" s="15">
        <f t="shared" si="17"/>
        <v>460.86840000000007</v>
      </c>
      <c r="G129" s="15">
        <f t="shared" si="19"/>
        <v>9249.8683999999994</v>
      </c>
      <c r="H129" s="15">
        <f t="shared" si="18"/>
        <v>-460.86839999999938</v>
      </c>
    </row>
    <row r="130" spans="1:8" x14ac:dyDescent="0.25">
      <c r="A130" s="17" t="s">
        <v>1210</v>
      </c>
      <c r="B130" s="40">
        <v>43800</v>
      </c>
      <c r="C130" s="15">
        <v>6311.67</v>
      </c>
      <c r="D130" s="15">
        <f t="shared" si="16"/>
        <v>2477.33</v>
      </c>
      <c r="E130" s="15">
        <f t="shared" si="15"/>
        <v>179507.73999999996</v>
      </c>
      <c r="F130" s="15">
        <f t="shared" si="17"/>
        <v>445.9194</v>
      </c>
      <c r="G130" s="15">
        <f t="shared" si="19"/>
        <v>9234.9194000000007</v>
      </c>
      <c r="H130" s="15">
        <f t="shared" si="18"/>
        <v>-445.91940000000068</v>
      </c>
    </row>
    <row r="131" spans="1:8" x14ac:dyDescent="0.25">
      <c r="A131" s="17" t="s">
        <v>1212</v>
      </c>
      <c r="B131" s="40">
        <v>43831</v>
      </c>
      <c r="C131" s="15">
        <v>6395.82</v>
      </c>
      <c r="D131" s="15">
        <f t="shared" si="16"/>
        <v>2393.1800000000003</v>
      </c>
      <c r="E131" s="15">
        <f t="shared" si="15"/>
        <v>173111.91999999995</v>
      </c>
      <c r="F131" s="15">
        <f t="shared" si="17"/>
        <v>430.77240000000006</v>
      </c>
      <c r="G131" s="15">
        <f t="shared" si="19"/>
        <v>9219.7723999999998</v>
      </c>
      <c r="H131" s="15">
        <f t="shared" si="18"/>
        <v>-430.77239999999983</v>
      </c>
    </row>
    <row r="132" spans="1:8" x14ac:dyDescent="0.25">
      <c r="A132" s="17" t="s">
        <v>1213</v>
      </c>
      <c r="B132" s="40">
        <v>43862</v>
      </c>
      <c r="C132" s="15">
        <v>6481.1</v>
      </c>
      <c r="D132" s="15">
        <f t="shared" si="16"/>
        <v>2307.8999999999996</v>
      </c>
      <c r="E132" s="15">
        <f t="shared" si="15"/>
        <v>166630.81999999995</v>
      </c>
      <c r="F132" s="15">
        <f t="shared" si="17"/>
        <v>415.42199999999997</v>
      </c>
      <c r="G132" s="15">
        <f t="shared" si="19"/>
        <v>9204.4220000000005</v>
      </c>
      <c r="H132" s="15">
        <f t="shared" si="18"/>
        <v>-415.42200000000048</v>
      </c>
    </row>
    <row r="133" spans="1:8" x14ac:dyDescent="0.25">
      <c r="A133" s="17" t="s">
        <v>1214</v>
      </c>
      <c r="B133" s="40">
        <v>43891</v>
      </c>
      <c r="C133" s="15">
        <v>6567.52</v>
      </c>
      <c r="D133" s="15">
        <f t="shared" si="16"/>
        <v>2221.4799999999996</v>
      </c>
      <c r="E133" s="15">
        <f t="shared" si="15"/>
        <v>160063.29999999996</v>
      </c>
      <c r="F133" s="15">
        <f t="shared" si="17"/>
        <v>399.86639999999994</v>
      </c>
      <c r="G133" s="15">
        <f t="shared" si="19"/>
        <v>9188.8664000000008</v>
      </c>
      <c r="H133" s="15">
        <f t="shared" si="18"/>
        <v>-399.86640000000079</v>
      </c>
    </row>
    <row r="134" spans="1:8" x14ac:dyDescent="0.25">
      <c r="A134" s="17" t="s">
        <v>1215</v>
      </c>
      <c r="B134" s="40">
        <v>43922</v>
      </c>
      <c r="C134" s="15">
        <v>6655.08</v>
      </c>
      <c r="D134" s="15">
        <f t="shared" si="16"/>
        <v>2133.92</v>
      </c>
      <c r="E134" s="15">
        <f t="shared" si="15"/>
        <v>153408.21999999997</v>
      </c>
      <c r="F134" s="15">
        <f t="shared" si="17"/>
        <v>384.10559999999998</v>
      </c>
      <c r="G134" s="15">
        <f t="shared" si="19"/>
        <v>9173.1056000000008</v>
      </c>
      <c r="H134" s="15">
        <f t="shared" si="18"/>
        <v>-384.10560000000078</v>
      </c>
    </row>
    <row r="135" spans="1:8" x14ac:dyDescent="0.25">
      <c r="A135" s="17" t="s">
        <v>1217</v>
      </c>
      <c r="B135" s="40">
        <v>43952</v>
      </c>
      <c r="C135" s="15">
        <v>6743.82</v>
      </c>
      <c r="D135" s="15">
        <f t="shared" si="16"/>
        <v>2045.1800000000003</v>
      </c>
      <c r="E135" s="15">
        <f t="shared" si="15"/>
        <v>146664.39999999997</v>
      </c>
      <c r="F135" s="15">
        <f t="shared" si="17"/>
        <v>368.13240000000008</v>
      </c>
      <c r="G135" s="15">
        <f t="shared" si="19"/>
        <v>9157.1324000000004</v>
      </c>
      <c r="H135" s="15">
        <f t="shared" si="18"/>
        <v>-368.13240000000042</v>
      </c>
    </row>
    <row r="136" spans="1:8" x14ac:dyDescent="0.25">
      <c r="A136" s="17" t="s">
        <v>1218</v>
      </c>
      <c r="B136" s="40">
        <v>43983</v>
      </c>
      <c r="C136" s="15">
        <v>6833.73</v>
      </c>
      <c r="D136" s="15">
        <f t="shared" si="16"/>
        <v>1955.2700000000004</v>
      </c>
      <c r="E136" s="15">
        <f t="shared" si="15"/>
        <v>139830.66999999995</v>
      </c>
      <c r="F136" s="15">
        <f t="shared" si="17"/>
        <v>351.94860000000006</v>
      </c>
      <c r="G136" s="15">
        <f t="shared" si="19"/>
        <v>9140.9485999999997</v>
      </c>
      <c r="H136" s="15">
        <f t="shared" si="18"/>
        <v>-351.94859999999971</v>
      </c>
    </row>
    <row r="137" spans="1:8" x14ac:dyDescent="0.25">
      <c r="A137" s="17" t="s">
        <v>1219</v>
      </c>
      <c r="B137" s="40">
        <v>44013</v>
      </c>
      <c r="C137" s="15">
        <v>6924.85</v>
      </c>
      <c r="D137" s="15">
        <f t="shared" si="16"/>
        <v>1864.1499999999996</v>
      </c>
      <c r="E137" s="15">
        <f t="shared" si="15"/>
        <v>132905.81999999995</v>
      </c>
      <c r="F137" s="15">
        <f t="shared" si="17"/>
        <v>335.54699999999997</v>
      </c>
      <c r="G137" s="15">
        <f t="shared" si="19"/>
        <v>9124.5470000000005</v>
      </c>
      <c r="H137" s="15">
        <f t="shared" si="18"/>
        <v>-335.54700000000048</v>
      </c>
    </row>
    <row r="138" spans="1:8" x14ac:dyDescent="0.25">
      <c r="A138" s="17" t="s">
        <v>1220</v>
      </c>
      <c r="B138" s="40">
        <v>44044</v>
      </c>
      <c r="C138" s="15">
        <v>7017.18</v>
      </c>
      <c r="D138" s="15">
        <f t="shared" si="16"/>
        <v>1771.8199999999997</v>
      </c>
      <c r="E138" s="15">
        <f t="shared" si="15"/>
        <v>125888.63999999996</v>
      </c>
      <c r="F138" s="15">
        <f t="shared" si="17"/>
        <v>318.92759999999993</v>
      </c>
      <c r="G138" s="15">
        <f t="shared" si="19"/>
        <v>9107.9275999999991</v>
      </c>
      <c r="H138" s="15">
        <f t="shared" si="18"/>
        <v>-318.92759999999907</v>
      </c>
    </row>
    <row r="139" spans="1:8" x14ac:dyDescent="0.25">
      <c r="A139" s="17" t="s">
        <v>1221</v>
      </c>
      <c r="B139" s="40">
        <v>44075</v>
      </c>
      <c r="C139" s="15">
        <v>7110.74</v>
      </c>
      <c r="D139" s="15">
        <f t="shared" si="16"/>
        <v>1678.2600000000002</v>
      </c>
      <c r="E139" s="15">
        <f t="shared" si="15"/>
        <v>118777.89999999995</v>
      </c>
      <c r="F139" s="15">
        <f t="shared" si="17"/>
        <v>302.08680000000004</v>
      </c>
      <c r="G139" s="15">
        <f t="shared" si="19"/>
        <v>9091.0868000000009</v>
      </c>
      <c r="H139" s="15">
        <f t="shared" si="18"/>
        <v>-302.08680000000095</v>
      </c>
    </row>
    <row r="140" spans="1:8" x14ac:dyDescent="0.25">
      <c r="A140" s="17" t="s">
        <v>1222</v>
      </c>
      <c r="B140" s="40">
        <v>44105</v>
      </c>
      <c r="C140" s="15">
        <v>7205.55</v>
      </c>
      <c r="D140" s="15">
        <f t="shared" si="16"/>
        <v>1583.4499999999998</v>
      </c>
      <c r="E140" s="15">
        <f t="shared" si="15"/>
        <v>111572.34999999995</v>
      </c>
      <c r="F140" s="15">
        <f t="shared" si="17"/>
        <v>285.02099999999996</v>
      </c>
      <c r="G140" s="15">
        <f t="shared" si="19"/>
        <v>9074.0210000000006</v>
      </c>
      <c r="H140" s="15">
        <f t="shared" si="18"/>
        <v>-285.02100000000064</v>
      </c>
    </row>
    <row r="141" spans="1:8" x14ac:dyDescent="0.25">
      <c r="A141" s="17" t="s">
        <v>1223</v>
      </c>
      <c r="B141" s="40">
        <v>44136</v>
      </c>
      <c r="C141" s="15">
        <v>7301.63</v>
      </c>
      <c r="D141" s="15">
        <f t="shared" si="16"/>
        <v>1487.37</v>
      </c>
      <c r="E141" s="15">
        <f t="shared" si="15"/>
        <v>104270.71999999994</v>
      </c>
      <c r="F141" s="15">
        <f t="shared" si="17"/>
        <v>267.72659999999996</v>
      </c>
      <c r="G141" s="15">
        <f t="shared" si="19"/>
        <v>9056.7266</v>
      </c>
      <c r="H141" s="15">
        <f t="shared" si="18"/>
        <v>-267.72659999999996</v>
      </c>
    </row>
    <row r="142" spans="1:8" x14ac:dyDescent="0.25">
      <c r="A142" s="17" t="s">
        <v>1224</v>
      </c>
      <c r="B142" s="40">
        <v>44166</v>
      </c>
      <c r="C142" s="15">
        <v>7398.98</v>
      </c>
      <c r="D142" s="15">
        <f t="shared" si="16"/>
        <v>1390.0200000000004</v>
      </c>
      <c r="E142" s="15">
        <f t="shared" si="15"/>
        <v>96871.739999999947</v>
      </c>
      <c r="F142" s="15">
        <f t="shared" si="17"/>
        <v>250.20360000000008</v>
      </c>
      <c r="G142" s="15">
        <f t="shared" si="19"/>
        <v>9039.2036000000007</v>
      </c>
      <c r="H142" s="15">
        <f t="shared" si="18"/>
        <v>-250.20360000000073</v>
      </c>
    </row>
    <row r="143" spans="1:8" x14ac:dyDescent="0.25">
      <c r="A143" s="17" t="s">
        <v>1225</v>
      </c>
      <c r="B143" s="40">
        <v>44197</v>
      </c>
      <c r="C143" s="15">
        <v>7497.64</v>
      </c>
      <c r="D143" s="15">
        <f t="shared" si="16"/>
        <v>1291.3599999999997</v>
      </c>
      <c r="E143" s="15">
        <f t="shared" si="15"/>
        <v>89374.099999999948</v>
      </c>
      <c r="F143" s="15">
        <f t="shared" si="17"/>
        <v>232.44479999999996</v>
      </c>
      <c r="G143" s="15">
        <f t="shared" si="19"/>
        <v>9021.4447999999993</v>
      </c>
      <c r="H143" s="15">
        <f t="shared" si="18"/>
        <v>-232.4447999999993</v>
      </c>
    </row>
    <row r="144" spans="1:8" x14ac:dyDescent="0.25">
      <c r="A144" s="17" t="s">
        <v>1226</v>
      </c>
      <c r="B144" s="40">
        <v>44228</v>
      </c>
      <c r="C144" s="15">
        <v>7597.61</v>
      </c>
      <c r="D144" s="15">
        <f t="shared" si="16"/>
        <v>1191.3900000000003</v>
      </c>
      <c r="E144" s="15">
        <f t="shared" si="15"/>
        <v>81776.489999999947</v>
      </c>
      <c r="F144" s="15">
        <f t="shared" si="17"/>
        <v>214.45020000000005</v>
      </c>
      <c r="G144" s="15">
        <f t="shared" si="19"/>
        <v>9003.4501999999993</v>
      </c>
      <c r="H144" s="15">
        <f t="shared" si="18"/>
        <v>-214.45019999999931</v>
      </c>
    </row>
    <row r="145" spans="1:8" x14ac:dyDescent="0.25">
      <c r="A145" s="17" t="s">
        <v>1227</v>
      </c>
      <c r="B145" s="40">
        <v>44256</v>
      </c>
      <c r="C145" s="15">
        <v>7698.91</v>
      </c>
      <c r="D145" s="15">
        <f t="shared" si="16"/>
        <v>1090.0900000000001</v>
      </c>
      <c r="E145" s="15">
        <f t="shared" si="15"/>
        <v>74077.579999999944</v>
      </c>
      <c r="F145" s="15">
        <f t="shared" si="17"/>
        <v>196.21620000000001</v>
      </c>
      <c r="G145" s="15">
        <f t="shared" si="19"/>
        <v>8985.2162000000008</v>
      </c>
      <c r="H145" s="15">
        <f t="shared" si="18"/>
        <v>-196.21620000000075</v>
      </c>
    </row>
    <row r="146" spans="1:8" x14ac:dyDescent="0.25">
      <c r="A146" s="17" t="s">
        <v>1228</v>
      </c>
      <c r="B146" s="40">
        <v>44287</v>
      </c>
      <c r="C146" s="15">
        <v>7801.56</v>
      </c>
      <c r="D146" s="15">
        <f t="shared" si="16"/>
        <v>987.4399999999996</v>
      </c>
      <c r="E146" s="15">
        <f t="shared" si="15"/>
        <v>66276.019999999946</v>
      </c>
      <c r="F146" s="15">
        <f t="shared" si="17"/>
        <v>177.7391999999999</v>
      </c>
      <c r="G146" s="15">
        <f t="shared" si="19"/>
        <v>8966.7392</v>
      </c>
      <c r="H146" s="15">
        <f t="shared" si="18"/>
        <v>-177.73919999999998</v>
      </c>
    </row>
    <row r="147" spans="1:8" x14ac:dyDescent="0.25">
      <c r="A147" s="17" t="s">
        <v>1229</v>
      </c>
      <c r="B147" s="40">
        <v>44317</v>
      </c>
      <c r="C147" s="15">
        <v>7905.58</v>
      </c>
      <c r="D147" s="15">
        <f t="shared" si="16"/>
        <v>883.42000000000007</v>
      </c>
      <c r="E147" s="15">
        <f t="shared" si="15"/>
        <v>58370.439999999944</v>
      </c>
      <c r="F147" s="15">
        <f t="shared" si="17"/>
        <v>159.01560000000001</v>
      </c>
      <c r="G147" s="15">
        <f t="shared" si="19"/>
        <v>8948.0156000000006</v>
      </c>
      <c r="H147" s="15">
        <f t="shared" si="18"/>
        <v>-159.01560000000063</v>
      </c>
    </row>
    <row r="148" spans="1:8" x14ac:dyDescent="0.25">
      <c r="A148" s="17" t="s">
        <v>1230</v>
      </c>
      <c r="B148" s="40">
        <v>44348</v>
      </c>
      <c r="C148" s="15">
        <v>8010.99</v>
      </c>
      <c r="D148" s="15">
        <f t="shared" si="16"/>
        <v>778.01000000000022</v>
      </c>
      <c r="E148" s="15">
        <f t="shared" si="15"/>
        <v>50359.449999999946</v>
      </c>
      <c r="F148" s="15">
        <f t="shared" si="17"/>
        <v>140.04180000000005</v>
      </c>
      <c r="G148" s="15">
        <f t="shared" si="19"/>
        <v>8929.0418000000009</v>
      </c>
      <c r="H148" s="15">
        <f t="shared" si="18"/>
        <v>-140.04180000000088</v>
      </c>
    </row>
    <row r="149" spans="1:8" x14ac:dyDescent="0.25">
      <c r="A149" s="17" t="s">
        <v>1231</v>
      </c>
      <c r="B149" s="40">
        <v>44378</v>
      </c>
      <c r="C149" s="15">
        <v>8117.8</v>
      </c>
      <c r="D149" s="15">
        <f t="shared" si="16"/>
        <v>671.19999999999982</v>
      </c>
      <c r="E149" s="15">
        <f t="shared" si="15"/>
        <v>42241.649999999943</v>
      </c>
      <c r="F149" s="15">
        <f t="shared" si="17"/>
        <v>120.81599999999997</v>
      </c>
      <c r="G149" s="15">
        <f t="shared" si="19"/>
        <v>8909.8160000000007</v>
      </c>
      <c r="H149" s="15">
        <f t="shared" si="18"/>
        <v>-120.81600000000071</v>
      </c>
    </row>
    <row r="150" spans="1:8" x14ac:dyDescent="0.25">
      <c r="A150" s="17" t="s">
        <v>1232</v>
      </c>
      <c r="B150" s="40">
        <v>44409</v>
      </c>
      <c r="C150" s="15">
        <v>8226.0400000000009</v>
      </c>
      <c r="D150" s="15">
        <f t="shared" si="16"/>
        <v>562.95999999999913</v>
      </c>
      <c r="E150" s="15">
        <f t="shared" si="15"/>
        <v>34015.609999999942</v>
      </c>
      <c r="F150" s="15">
        <f t="shared" si="17"/>
        <v>101.33279999999985</v>
      </c>
      <c r="G150" s="15">
        <f t="shared" si="19"/>
        <v>8890.3328000000001</v>
      </c>
      <c r="H150" s="15">
        <f t="shared" si="18"/>
        <v>-101.33280000000013</v>
      </c>
    </row>
    <row r="151" spans="1:8" x14ac:dyDescent="0.25">
      <c r="A151" s="17" t="s">
        <v>1233</v>
      </c>
      <c r="B151" s="40">
        <v>44440</v>
      </c>
      <c r="C151" s="15">
        <v>8335.7199999999993</v>
      </c>
      <c r="D151" s="15">
        <f t="shared" si="16"/>
        <v>453.28000000000065</v>
      </c>
      <c r="E151" s="15">
        <f t="shared" si="15"/>
        <v>25679.889999999941</v>
      </c>
      <c r="F151" s="15">
        <f t="shared" si="17"/>
        <v>81.590400000000116</v>
      </c>
      <c r="G151" s="15">
        <f t="shared" si="19"/>
        <v>8870.590400000001</v>
      </c>
      <c r="H151" s="15">
        <f t="shared" si="18"/>
        <v>-81.590400000000955</v>
      </c>
    </row>
    <row r="152" spans="1:8" x14ac:dyDescent="0.25">
      <c r="A152" s="17" t="s">
        <v>1234</v>
      </c>
      <c r="B152" s="40">
        <v>44470</v>
      </c>
      <c r="C152" s="15">
        <v>8446.86</v>
      </c>
      <c r="D152" s="15">
        <f t="shared" si="16"/>
        <v>342.13999999999942</v>
      </c>
      <c r="E152" s="15">
        <f t="shared" si="15"/>
        <v>17233.029999999941</v>
      </c>
      <c r="F152" s="15">
        <f t="shared" si="17"/>
        <v>61.585199999999894</v>
      </c>
      <c r="G152" s="15">
        <f t="shared" si="19"/>
        <v>8850.5851999999995</v>
      </c>
      <c r="H152" s="15">
        <f t="shared" si="18"/>
        <v>-61.585199999999531</v>
      </c>
    </row>
    <row r="153" spans="1:8" x14ac:dyDescent="0.25">
      <c r="A153" s="17" t="s">
        <v>1235</v>
      </c>
      <c r="B153" s="40">
        <v>44501</v>
      </c>
      <c r="C153" s="15">
        <v>8559.49</v>
      </c>
      <c r="D153" s="15">
        <f t="shared" si="16"/>
        <v>229.51000000000022</v>
      </c>
      <c r="E153" s="15">
        <f t="shared" si="15"/>
        <v>8673.5399999999408</v>
      </c>
      <c r="F153" s="15">
        <f t="shared" si="17"/>
        <v>41.311800000000041</v>
      </c>
      <c r="G153" s="15">
        <f t="shared" si="19"/>
        <v>8830.3117999999995</v>
      </c>
      <c r="H153" s="15">
        <f t="shared" si="18"/>
        <v>-41.311799999999494</v>
      </c>
    </row>
    <row r="154" spans="1:8" x14ac:dyDescent="0.25">
      <c r="A154" s="17" t="s">
        <v>1236</v>
      </c>
      <c r="B154" s="40">
        <v>44531</v>
      </c>
      <c r="C154" s="15">
        <v>8673.5400000000009</v>
      </c>
      <c r="D154" s="15">
        <f t="shared" si="16"/>
        <v>115.45999999999913</v>
      </c>
      <c r="E154" s="15">
        <f>E153-C154</f>
        <v>-6.0026650317013264E-11</v>
      </c>
      <c r="F154" s="15">
        <f t="shared" si="17"/>
        <v>20.782799999999842</v>
      </c>
      <c r="G154" s="15">
        <f t="shared" si="19"/>
        <v>8809.782799999999</v>
      </c>
      <c r="H154" s="15">
        <f t="shared" si="18"/>
        <v>-20.782799999999042</v>
      </c>
    </row>
    <row r="155" spans="1:8" x14ac:dyDescent="0.25">
      <c r="A155" s="26"/>
      <c r="B155" s="164"/>
      <c r="C155" s="11"/>
      <c r="D155" s="11"/>
      <c r="E155" s="11"/>
      <c r="F155" s="11"/>
      <c r="G155" s="11"/>
    </row>
    <row r="156" spans="1:8" x14ac:dyDescent="0.25">
      <c r="A156" s="26"/>
      <c r="B156" s="164"/>
      <c r="C156" s="11"/>
      <c r="D156" s="11">
        <f>SUM(D118:D155)</f>
        <v>69403.999999999971</v>
      </c>
      <c r="E156" s="11"/>
      <c r="F156" s="11">
        <f>SUM(F118:F155)</f>
        <v>12492.720000000001</v>
      </c>
      <c r="G156" s="11"/>
    </row>
  </sheetData>
  <mergeCells count="3">
    <mergeCell ref="K1:L1"/>
    <mergeCell ref="K14:L14"/>
    <mergeCell ref="S1:V1"/>
  </mergeCells>
  <phoneticPr fontId="56" type="noConversion"/>
  <pageMargins left="0.7" right="0.7" top="0.75" bottom="0.75" header="0.3" footer="0.3"/>
  <pageSetup orientation="portrait" r:id="rId1"/>
  <ignoredErrors>
    <ignoredError sqref="L16:L17" formulaRange="1"/>
  </ignoredErrors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1"/>
  <dimension ref="A1:N94"/>
  <sheetViews>
    <sheetView zoomScale="85" zoomScaleNormal="85" workbookViewId="0">
      <selection activeCell="C28" sqref="C28"/>
    </sheetView>
  </sheetViews>
  <sheetFormatPr defaultColWidth="9.140625" defaultRowHeight="12.75" x14ac:dyDescent="0.2"/>
  <cols>
    <col min="1" max="1" width="13.7109375" style="2" customWidth="1"/>
    <col min="2" max="2" width="13.7109375" style="2" hidden="1" customWidth="1"/>
    <col min="3" max="4" width="13.7109375" style="2" customWidth="1"/>
    <col min="5" max="5" width="13.7109375" style="2" hidden="1" customWidth="1"/>
    <col min="6" max="6" width="13.7109375" style="2" customWidth="1"/>
    <col min="7" max="7" width="15" style="2" bestFit="1" customWidth="1"/>
    <col min="8" max="8" width="2.7109375" style="2" customWidth="1"/>
    <col min="9" max="9" width="9.140625" style="2"/>
    <col min="10" max="10" width="14" style="2" customWidth="1"/>
    <col min="11" max="11" width="14.28515625" style="2" customWidth="1"/>
    <col min="12" max="12" width="12.28515625" style="2" bestFit="1" customWidth="1"/>
    <col min="13" max="13" width="13" style="2" customWidth="1"/>
    <col min="14" max="15" width="9.140625" style="2"/>
    <col min="16" max="16" width="11" style="2" customWidth="1"/>
    <col min="17" max="16384" width="9.140625" style="2"/>
  </cols>
  <sheetData>
    <row r="1" spans="1:14" x14ac:dyDescent="0.2">
      <c r="A1" s="5" t="s">
        <v>735</v>
      </c>
      <c r="B1" s="7" t="s">
        <v>1267</v>
      </c>
      <c r="C1" s="5" t="s">
        <v>1268</v>
      </c>
      <c r="D1" s="5" t="s">
        <v>1269</v>
      </c>
      <c r="E1" s="7" t="s">
        <v>1270</v>
      </c>
      <c r="F1" s="5" t="s">
        <v>1271</v>
      </c>
      <c r="G1" s="5" t="s">
        <v>1272</v>
      </c>
      <c r="H1" s="5"/>
      <c r="I1" s="5" t="s">
        <v>208</v>
      </c>
      <c r="J1" s="5" t="s">
        <v>18</v>
      </c>
    </row>
    <row r="2" spans="1:14" x14ac:dyDescent="0.2">
      <c r="A2" s="101">
        <v>1728096.66</v>
      </c>
      <c r="B2" s="101">
        <v>723530</v>
      </c>
      <c r="C2" s="101">
        <v>1548549</v>
      </c>
      <c r="D2" s="101">
        <v>54508</v>
      </c>
      <c r="E2" s="101">
        <v>124200</v>
      </c>
      <c r="F2" s="101">
        <v>97019.839999999997</v>
      </c>
      <c r="G2" s="101">
        <v>299470</v>
      </c>
      <c r="H2" s="101"/>
      <c r="I2" s="153">
        <v>43344</v>
      </c>
      <c r="J2" s="154">
        <f t="shared" ref="J2:J33" si="0">SUM(A2:G2)</f>
        <v>4575373.5</v>
      </c>
    </row>
    <row r="3" spans="1:14" x14ac:dyDescent="0.2">
      <c r="A3" s="101">
        <v>1696898.86</v>
      </c>
      <c r="B3" s="101">
        <v>713585</v>
      </c>
      <c r="C3" s="101">
        <v>1535163</v>
      </c>
      <c r="D3" s="101">
        <v>54508</v>
      </c>
      <c r="E3" s="101">
        <v>115920</v>
      </c>
      <c r="F3" s="101">
        <v>87289.04</v>
      </c>
      <c r="G3" s="101">
        <v>285856</v>
      </c>
      <c r="H3" s="101"/>
      <c r="I3" s="153">
        <v>43374</v>
      </c>
      <c r="J3" s="154">
        <f t="shared" si="0"/>
        <v>4489219.9000000004</v>
      </c>
      <c r="K3" s="159">
        <f>J2-J3</f>
        <v>86153.599999999627</v>
      </c>
    </row>
    <row r="4" spans="1:14" x14ac:dyDescent="0.2">
      <c r="A4" s="101">
        <v>1665415.08</v>
      </c>
      <c r="B4" s="101">
        <v>703547</v>
      </c>
      <c r="C4" s="101">
        <v>1521669</v>
      </c>
      <c r="D4" s="101">
        <v>54508</v>
      </c>
      <c r="E4" s="101">
        <v>107640</v>
      </c>
      <c r="F4" s="101">
        <v>77564.44</v>
      </c>
      <c r="G4" s="101">
        <v>272108</v>
      </c>
      <c r="H4" s="101"/>
      <c r="I4" s="153">
        <v>43405</v>
      </c>
      <c r="J4" s="154">
        <f t="shared" si="0"/>
        <v>4402451.5199999996</v>
      </c>
      <c r="K4" s="159">
        <f>J3-J4</f>
        <v>86768.38000000082</v>
      </c>
      <c r="N4" s="159"/>
    </row>
    <row r="5" spans="1:14" x14ac:dyDescent="0.2">
      <c r="A5" s="101">
        <v>1633642.69</v>
      </c>
      <c r="B5" s="101">
        <v>693415</v>
      </c>
      <c r="C5" s="101">
        <v>1508066</v>
      </c>
      <c r="D5" s="101">
        <v>154087</v>
      </c>
      <c r="E5" s="101">
        <v>99360</v>
      </c>
      <c r="F5" s="101">
        <v>67846.11</v>
      </c>
      <c r="G5" s="101">
        <v>258223</v>
      </c>
      <c r="H5" s="101"/>
      <c r="I5" s="153">
        <v>43435</v>
      </c>
      <c r="J5" s="154">
        <f t="shared" si="0"/>
        <v>4414639.8</v>
      </c>
      <c r="K5" s="159">
        <f t="shared" ref="K5:K21" si="1">J4-J5</f>
        <v>-12188.280000000261</v>
      </c>
    </row>
    <row r="6" spans="1:14" x14ac:dyDescent="0.2">
      <c r="A6" s="101">
        <v>1601579.05</v>
      </c>
      <c r="B6" s="101">
        <v>683188</v>
      </c>
      <c r="C6" s="101">
        <v>1500598</v>
      </c>
      <c r="D6" s="101">
        <v>451087</v>
      </c>
      <c r="E6" s="101">
        <v>91080</v>
      </c>
      <c r="F6" s="101">
        <v>58134.1</v>
      </c>
      <c r="G6" s="101">
        <v>244201</v>
      </c>
      <c r="H6" s="101"/>
      <c r="I6" s="153">
        <v>43466</v>
      </c>
      <c r="J6" s="154">
        <f t="shared" si="0"/>
        <v>4629867.1499999994</v>
      </c>
      <c r="K6" s="159">
        <f t="shared" si="1"/>
        <v>-215227.34999999963</v>
      </c>
    </row>
    <row r="7" spans="1:14" x14ac:dyDescent="0.2">
      <c r="A7" s="101">
        <v>1569221.49</v>
      </c>
      <c r="B7" s="101">
        <v>672865</v>
      </c>
      <c r="C7" s="101">
        <v>1487039</v>
      </c>
      <c r="D7" s="101">
        <v>751087</v>
      </c>
      <c r="E7" s="101">
        <v>82800</v>
      </c>
      <c r="F7" s="101">
        <v>48428.480000000003</v>
      </c>
      <c r="G7" s="101">
        <v>230040</v>
      </c>
      <c r="H7" s="101"/>
      <c r="I7" s="153">
        <v>43497</v>
      </c>
      <c r="J7" s="154">
        <f t="shared" si="0"/>
        <v>4841480.9700000007</v>
      </c>
      <c r="K7" s="159">
        <f t="shared" si="1"/>
        <v>-211613.82000000123</v>
      </c>
    </row>
    <row r="8" spans="1:14" x14ac:dyDescent="0.2">
      <c r="A8" s="101">
        <v>1757886.64</v>
      </c>
      <c r="B8" s="101">
        <v>662445</v>
      </c>
      <c r="C8" s="101">
        <v>1458545</v>
      </c>
      <c r="D8" s="101">
        <v>921087</v>
      </c>
      <c r="E8" s="101">
        <v>74520</v>
      </c>
      <c r="F8" s="101">
        <v>38729.31</v>
      </c>
      <c r="G8" s="101">
        <v>215739</v>
      </c>
      <c r="H8" s="101"/>
      <c r="I8" s="153">
        <v>43525</v>
      </c>
      <c r="J8" s="154">
        <f t="shared" si="0"/>
        <v>5128951.9499999993</v>
      </c>
      <c r="K8" s="159">
        <f t="shared" si="1"/>
        <v>-287470.97999999858</v>
      </c>
    </row>
    <row r="9" spans="1:14" x14ac:dyDescent="0.2">
      <c r="A9" s="101">
        <v>1715369.97</v>
      </c>
      <c r="B9" s="101">
        <v>651927</v>
      </c>
      <c r="C9" s="101">
        <v>1444637</v>
      </c>
      <c r="D9" s="101">
        <v>860087</v>
      </c>
      <c r="E9" s="101">
        <v>66240</v>
      </c>
      <c r="F9" s="101">
        <v>29037</v>
      </c>
      <c r="G9" s="101">
        <v>201296</v>
      </c>
      <c r="H9" s="101"/>
      <c r="I9" s="153">
        <v>43556</v>
      </c>
      <c r="J9" s="154">
        <f t="shared" si="0"/>
        <v>4968593.97</v>
      </c>
      <c r="K9" s="159">
        <f t="shared" si="1"/>
        <v>160357.97999999952</v>
      </c>
    </row>
    <row r="10" spans="1:14" x14ac:dyDescent="0.2">
      <c r="A10" s="101">
        <v>1672446.21</v>
      </c>
      <c r="B10" s="101">
        <v>641311</v>
      </c>
      <c r="C10" s="101">
        <v>1442111</v>
      </c>
      <c r="D10" s="101">
        <v>930087</v>
      </c>
      <c r="E10" s="101">
        <v>57960</v>
      </c>
      <c r="F10" s="101">
        <v>19350.93</v>
      </c>
      <c r="G10" s="101">
        <v>186710</v>
      </c>
      <c r="H10" s="101"/>
      <c r="I10" s="153">
        <v>43586</v>
      </c>
      <c r="J10" s="154">
        <f t="shared" si="0"/>
        <v>4949976.1399999997</v>
      </c>
      <c r="K10" s="159">
        <f t="shared" si="1"/>
        <v>18617.830000000075</v>
      </c>
    </row>
    <row r="11" spans="1:14" x14ac:dyDescent="0.2">
      <c r="A11" s="101">
        <v>1629111.46</v>
      </c>
      <c r="B11" s="101">
        <v>630595</v>
      </c>
      <c r="C11" s="101">
        <v>1427463</v>
      </c>
      <c r="D11" s="101">
        <v>612026</v>
      </c>
      <c r="E11" s="101">
        <v>49680</v>
      </c>
      <c r="F11" s="101">
        <v>9671.17</v>
      </c>
      <c r="G11" s="101">
        <v>171980</v>
      </c>
      <c r="H11" s="101"/>
      <c r="I11" s="153">
        <v>43617</v>
      </c>
      <c r="J11" s="154">
        <f t="shared" si="0"/>
        <v>4530526.63</v>
      </c>
      <c r="K11" s="159">
        <f t="shared" si="1"/>
        <v>419449.50999999978</v>
      </c>
    </row>
    <row r="12" spans="1:14" x14ac:dyDescent="0.2">
      <c r="A12" s="101">
        <v>1585361.8</v>
      </c>
      <c r="B12" s="101">
        <v>619779</v>
      </c>
      <c r="C12" s="101">
        <v>1413140</v>
      </c>
      <c r="D12" s="101">
        <v>312026</v>
      </c>
      <c r="E12" s="101">
        <v>41400</v>
      </c>
      <c r="F12" s="101">
        <v>0</v>
      </c>
      <c r="G12" s="101">
        <v>157104</v>
      </c>
      <c r="H12" s="101"/>
      <c r="I12" s="153">
        <v>43647</v>
      </c>
      <c r="J12" s="154">
        <f t="shared" si="0"/>
        <v>4128810.8</v>
      </c>
      <c r="K12" s="159">
        <f t="shared" si="1"/>
        <v>401715.83000000007</v>
      </c>
    </row>
    <row r="13" spans="1:14" x14ac:dyDescent="0.2">
      <c r="A13" s="101">
        <v>1541193.24</v>
      </c>
      <c r="B13" s="101">
        <v>608861</v>
      </c>
      <c r="C13" s="101">
        <v>1398871</v>
      </c>
      <c r="D13" s="101">
        <v>512026</v>
      </c>
      <c r="E13" s="101">
        <v>33120</v>
      </c>
      <c r="F13" s="101">
        <v>0</v>
      </c>
      <c r="G13" s="101">
        <v>142081</v>
      </c>
      <c r="H13" s="101"/>
      <c r="I13" s="153">
        <v>43678</v>
      </c>
      <c r="J13" s="154">
        <f t="shared" si="0"/>
        <v>4236152.24</v>
      </c>
      <c r="K13" s="159">
        <f t="shared" si="1"/>
        <v>-107341.44000000041</v>
      </c>
    </row>
    <row r="14" spans="1:14" x14ac:dyDescent="0.2">
      <c r="A14" s="101">
        <v>2067876.41</v>
      </c>
      <c r="B14" s="101">
        <v>597841</v>
      </c>
      <c r="C14" s="101">
        <v>1372871</v>
      </c>
      <c r="D14" s="101">
        <v>977026</v>
      </c>
      <c r="E14" s="101">
        <v>24840</v>
      </c>
      <c r="F14" s="101">
        <v>0</v>
      </c>
      <c r="G14" s="101">
        <v>126909</v>
      </c>
      <c r="H14" s="101"/>
      <c r="I14" s="153">
        <v>43709</v>
      </c>
      <c r="J14" s="154">
        <f t="shared" si="0"/>
        <v>5167363.41</v>
      </c>
      <c r="K14" s="159">
        <f t="shared" si="1"/>
        <v>-931211.16999999993</v>
      </c>
    </row>
    <row r="15" spans="1:14" x14ac:dyDescent="0.2">
      <c r="A15" s="101">
        <v>2041506.71</v>
      </c>
      <c r="B15" s="101">
        <v>586718</v>
      </c>
      <c r="C15" s="101">
        <v>1358091</v>
      </c>
      <c r="D15" s="101">
        <v>621878</v>
      </c>
      <c r="E15" s="101">
        <v>16560</v>
      </c>
      <c r="F15" s="101">
        <v>0</v>
      </c>
      <c r="G15" s="101">
        <v>111587</v>
      </c>
      <c r="H15" s="101"/>
      <c r="I15" s="153">
        <v>43739</v>
      </c>
      <c r="J15" s="154">
        <f t="shared" si="0"/>
        <v>4736340.71</v>
      </c>
      <c r="K15" s="159">
        <f t="shared" si="1"/>
        <v>431022.70000000019</v>
      </c>
      <c r="M15" s="159"/>
    </row>
    <row r="16" spans="1:14" x14ac:dyDescent="0.2">
      <c r="A16" s="101">
        <f>'My PLs'!E31</f>
        <v>2046919.0600000008</v>
      </c>
      <c r="B16" s="101">
        <v>575490</v>
      </c>
      <c r="C16" s="101">
        <v>1343523</v>
      </c>
      <c r="D16" s="101"/>
      <c r="E16" s="101">
        <v>8280</v>
      </c>
      <c r="F16" s="101">
        <v>0</v>
      </c>
      <c r="G16" s="101">
        <v>96113</v>
      </c>
      <c r="H16" s="101"/>
      <c r="I16" s="153">
        <v>43770</v>
      </c>
      <c r="J16" s="154">
        <f t="shared" si="0"/>
        <v>4070325.0600000005</v>
      </c>
      <c r="K16" s="159">
        <f t="shared" si="1"/>
        <v>666015.64999999944</v>
      </c>
    </row>
    <row r="17" spans="1:11" x14ac:dyDescent="0.2">
      <c r="A17" s="101">
        <f>'My PLs'!E32</f>
        <v>1988966.1300000008</v>
      </c>
      <c r="B17" s="183"/>
      <c r="C17" s="101">
        <v>1328484</v>
      </c>
      <c r="D17" s="101"/>
      <c r="E17" s="183"/>
      <c r="F17" s="101">
        <v>0</v>
      </c>
      <c r="G17" s="101">
        <v>80486</v>
      </c>
      <c r="H17" s="101"/>
      <c r="I17" s="153">
        <v>43800</v>
      </c>
      <c r="J17" s="154">
        <f t="shared" si="0"/>
        <v>3397936.1300000008</v>
      </c>
      <c r="K17" s="159">
        <f t="shared" si="1"/>
        <v>672388.9299999997</v>
      </c>
    </row>
    <row r="18" spans="1:11" x14ac:dyDescent="0.2">
      <c r="A18" s="101">
        <f>'My PLs'!E33</f>
        <v>1930518.1800000009</v>
      </c>
      <c r="B18" s="183"/>
      <c r="C18" s="101">
        <v>1313397</v>
      </c>
      <c r="D18" s="101"/>
      <c r="E18" s="183"/>
      <c r="F18" s="101">
        <v>0</v>
      </c>
      <c r="G18" s="101">
        <v>64705</v>
      </c>
      <c r="H18" s="101"/>
      <c r="I18" s="153">
        <v>43831</v>
      </c>
      <c r="J18" s="154">
        <f t="shared" si="0"/>
        <v>3308620.1800000006</v>
      </c>
      <c r="K18" s="159">
        <f t="shared" si="1"/>
        <v>89315.950000000186</v>
      </c>
    </row>
    <row r="19" spans="1:11" x14ac:dyDescent="0.2">
      <c r="A19" s="101">
        <f>'My PLs'!E34</f>
        <v>1871570.9900000009</v>
      </c>
      <c r="B19" s="183"/>
      <c r="C19" s="101">
        <f>'Car Loan'!E21</f>
        <v>1298610</v>
      </c>
      <c r="D19" s="101"/>
      <c r="E19" s="183"/>
      <c r="F19" s="101">
        <v>0</v>
      </c>
      <c r="G19" s="101">
        <v>48767</v>
      </c>
      <c r="H19" s="101"/>
      <c r="I19" s="153">
        <v>43862</v>
      </c>
      <c r="J19" s="154">
        <f t="shared" si="0"/>
        <v>3218947.9900000012</v>
      </c>
      <c r="K19" s="159">
        <f t="shared" si="1"/>
        <v>89672.189999999478</v>
      </c>
    </row>
    <row r="20" spans="1:11" x14ac:dyDescent="0.2">
      <c r="A20" s="101">
        <f>'My PLs'!E35</f>
        <v>1812120.290000001</v>
      </c>
      <c r="B20" s="183"/>
      <c r="C20" s="101">
        <f>'Car Loan'!E22</f>
        <v>1282851</v>
      </c>
      <c r="D20" s="101"/>
      <c r="E20" s="183"/>
      <c r="F20" s="101">
        <v>0</v>
      </c>
      <c r="G20" s="101">
        <v>32671</v>
      </c>
      <c r="H20" s="101"/>
      <c r="I20" s="153">
        <v>43891</v>
      </c>
      <c r="J20" s="154">
        <f t="shared" si="0"/>
        <v>3127642.290000001</v>
      </c>
      <c r="K20" s="159">
        <f t="shared" si="1"/>
        <v>91305.700000000186</v>
      </c>
    </row>
    <row r="21" spans="1:11" x14ac:dyDescent="0.2">
      <c r="A21" s="101">
        <f>'My PLs'!E36</f>
        <v>1752161.790000001</v>
      </c>
      <c r="B21" s="183"/>
      <c r="C21" s="101">
        <f>'Car Loan'!E23</f>
        <v>1267405</v>
      </c>
      <c r="D21" s="101"/>
      <c r="E21" s="183"/>
      <c r="F21" s="101">
        <v>0</v>
      </c>
      <c r="G21" s="101">
        <v>16416</v>
      </c>
      <c r="H21" s="101"/>
      <c r="I21" s="153">
        <v>43922</v>
      </c>
      <c r="J21" s="154">
        <f t="shared" si="0"/>
        <v>3035982.790000001</v>
      </c>
      <c r="K21" s="159">
        <f t="shared" si="1"/>
        <v>91659.5</v>
      </c>
    </row>
    <row r="22" spans="1:11" x14ac:dyDescent="0.2">
      <c r="A22" s="101">
        <f>'My PLs'!E37</f>
        <v>1691691.1400000011</v>
      </c>
      <c r="B22" s="183"/>
      <c r="C22" s="101">
        <f>'Car Loan'!E24</f>
        <v>1251835</v>
      </c>
      <c r="D22" s="101"/>
      <c r="E22" s="183"/>
      <c r="F22" s="101"/>
      <c r="G22" s="101">
        <v>0</v>
      </c>
      <c r="H22" s="101"/>
      <c r="I22" s="153">
        <v>43952</v>
      </c>
      <c r="J22" s="154">
        <f t="shared" si="0"/>
        <v>2943526.1400000011</v>
      </c>
      <c r="K22" s="159"/>
    </row>
    <row r="23" spans="1:11" x14ac:dyDescent="0.2">
      <c r="A23" s="101">
        <f>'My PLs'!E38</f>
        <v>1630703.9700000011</v>
      </c>
      <c r="B23" s="183"/>
      <c r="C23" s="101">
        <f>'Car Loan'!E25</f>
        <v>1236140</v>
      </c>
      <c r="D23" s="101"/>
      <c r="E23" s="183"/>
      <c r="F23" s="101"/>
      <c r="G23" s="101"/>
      <c r="H23" s="101"/>
      <c r="I23" s="153">
        <v>43983</v>
      </c>
      <c r="J23" s="154">
        <f t="shared" si="0"/>
        <v>2866843.9700000011</v>
      </c>
      <c r="K23" s="159"/>
    </row>
    <row r="24" spans="1:11" x14ac:dyDescent="0.2">
      <c r="A24" s="101">
        <f>'My PLs'!E39</f>
        <v>1569195.870000001</v>
      </c>
      <c r="B24" s="183"/>
      <c r="C24" s="101">
        <f>'Car Loan'!E26</f>
        <v>1220319</v>
      </c>
      <c r="D24" s="101"/>
      <c r="E24" s="183"/>
      <c r="F24" s="101"/>
      <c r="G24" s="101"/>
      <c r="H24" s="101"/>
      <c r="I24" s="153">
        <v>44013</v>
      </c>
      <c r="J24" s="154">
        <f t="shared" si="0"/>
        <v>2789514.870000001</v>
      </c>
      <c r="K24" s="159"/>
    </row>
    <row r="25" spans="1:11" x14ac:dyDescent="0.2">
      <c r="A25" s="101">
        <f>'My PLs'!E40</f>
        <v>1507162.3900000011</v>
      </c>
      <c r="B25" s="183"/>
      <c r="C25" s="101">
        <f>'Car Loan'!E27</f>
        <v>1204371</v>
      </c>
      <c r="D25" s="101"/>
      <c r="E25" s="183"/>
      <c r="F25" s="101"/>
      <c r="G25" s="101"/>
      <c r="H25" s="101"/>
      <c r="I25" s="153">
        <v>44044</v>
      </c>
      <c r="J25" s="154">
        <f t="shared" si="0"/>
        <v>2711533.3900000011</v>
      </c>
      <c r="K25" s="159"/>
    </row>
    <row r="26" spans="1:11" x14ac:dyDescent="0.2">
      <c r="A26" s="101">
        <f>'My PLs'!E41</f>
        <v>1444599.040000001</v>
      </c>
      <c r="B26" s="183"/>
      <c r="C26" s="101">
        <f>'Car Loan'!E28</f>
        <v>1188295</v>
      </c>
      <c r="D26" s="101"/>
      <c r="E26" s="183"/>
      <c r="F26" s="101"/>
      <c r="G26" s="101"/>
      <c r="H26" s="101"/>
      <c r="I26" s="153">
        <v>44075</v>
      </c>
      <c r="J26" s="154">
        <f t="shared" si="0"/>
        <v>2632894.040000001</v>
      </c>
      <c r="K26" s="159"/>
    </row>
    <row r="27" spans="1:11" x14ac:dyDescent="0.2">
      <c r="A27" s="101">
        <f>'My PLs'!E42</f>
        <v>1381501.300000001</v>
      </c>
      <c r="B27" s="183"/>
      <c r="C27" s="101">
        <f>'Car Loan'!E29</f>
        <v>1172089</v>
      </c>
      <c r="D27" s="101"/>
      <c r="E27" s="183"/>
      <c r="F27" s="101"/>
      <c r="G27" s="101"/>
      <c r="H27" s="101"/>
      <c r="I27" s="153">
        <v>44105</v>
      </c>
      <c r="J27" s="154">
        <f t="shared" si="0"/>
        <v>2553590.3000000007</v>
      </c>
      <c r="K27" s="159"/>
    </row>
    <row r="28" spans="1:11" x14ac:dyDescent="0.2">
      <c r="A28" s="101">
        <f>'My PLs'!E43</f>
        <v>1317864.600000001</v>
      </c>
      <c r="B28" s="183"/>
      <c r="C28" s="101">
        <f>'Car Loan'!E30</f>
        <v>1155753</v>
      </c>
      <c r="D28" s="101"/>
      <c r="E28" s="183"/>
      <c r="F28" s="101"/>
      <c r="G28" s="101"/>
      <c r="H28" s="101"/>
      <c r="I28" s="153">
        <v>44136</v>
      </c>
      <c r="J28" s="154">
        <f t="shared" si="0"/>
        <v>2473617.600000001</v>
      </c>
      <c r="K28" s="159"/>
    </row>
    <row r="29" spans="1:11" x14ac:dyDescent="0.2">
      <c r="A29" s="101">
        <f>'My PLs'!E44</f>
        <v>1253684.340000001</v>
      </c>
      <c r="B29" s="183"/>
      <c r="C29" s="101">
        <f>'Car Loan'!E31</f>
        <v>1139286</v>
      </c>
      <c r="D29" s="101"/>
      <c r="E29" s="183"/>
      <c r="F29" s="101"/>
      <c r="G29" s="101"/>
      <c r="H29" s="101"/>
      <c r="I29" s="153">
        <v>44166</v>
      </c>
      <c r="J29" s="154">
        <f t="shared" si="0"/>
        <v>2392970.3400000008</v>
      </c>
      <c r="K29" s="159"/>
    </row>
    <row r="30" spans="1:11" x14ac:dyDescent="0.2">
      <c r="A30" s="101">
        <f>'My PLs'!E45</f>
        <v>1188955.870000001</v>
      </c>
      <c r="B30" s="183"/>
      <c r="C30" s="101">
        <f>'Car Loan'!E32</f>
        <v>1122687</v>
      </c>
      <c r="D30" s="101"/>
      <c r="E30" s="183"/>
      <c r="F30" s="101"/>
      <c r="G30" s="101"/>
      <c r="H30" s="101"/>
      <c r="I30" s="153">
        <v>44197</v>
      </c>
      <c r="J30" s="154">
        <f t="shared" si="0"/>
        <v>2311642.870000001</v>
      </c>
      <c r="K30" s="159"/>
    </row>
    <row r="31" spans="1:11" x14ac:dyDescent="0.2">
      <c r="A31" s="101">
        <f>'My PLs'!E46</f>
        <v>1123674.5200000009</v>
      </c>
      <c r="B31" s="183"/>
      <c r="C31" s="101">
        <f>'Car Loan'!E33</f>
        <v>1105954</v>
      </c>
      <c r="D31" s="101"/>
      <c r="E31" s="183"/>
      <c r="F31" s="101"/>
      <c r="G31" s="101"/>
      <c r="H31" s="101"/>
      <c r="I31" s="153">
        <v>44228</v>
      </c>
      <c r="J31" s="154">
        <f t="shared" si="0"/>
        <v>2229628.5200000009</v>
      </c>
      <c r="K31" s="159"/>
    </row>
    <row r="32" spans="1:11" x14ac:dyDescent="0.2">
      <c r="A32" s="101">
        <f>'My PLs'!E47</f>
        <v>1057835.550000001</v>
      </c>
      <c r="B32" s="183"/>
      <c r="C32" s="101">
        <f>'Car Loan'!E34</f>
        <v>1089087</v>
      </c>
      <c r="D32" s="101"/>
      <c r="E32" s="183"/>
      <c r="F32" s="101"/>
      <c r="G32" s="101"/>
      <c r="H32" s="101"/>
      <c r="I32" s="153">
        <v>44256</v>
      </c>
      <c r="J32" s="154">
        <f t="shared" si="0"/>
        <v>2146922.5500000007</v>
      </c>
      <c r="K32" s="159"/>
    </row>
    <row r="33" spans="1:11" x14ac:dyDescent="0.2">
      <c r="A33" s="101">
        <f>'My PLs'!E48</f>
        <v>991434.21000000101</v>
      </c>
      <c r="B33" s="183"/>
      <c r="C33" s="101">
        <f>'Car Loan'!E35</f>
        <v>1072084</v>
      </c>
      <c r="D33" s="101"/>
      <c r="E33" s="183"/>
      <c r="F33" s="101"/>
      <c r="G33" s="101"/>
      <c r="H33" s="101"/>
      <c r="I33" s="153">
        <v>44287</v>
      </c>
      <c r="J33" s="154">
        <f t="shared" si="0"/>
        <v>2063518.2100000009</v>
      </c>
      <c r="K33" s="159"/>
    </row>
    <row r="34" spans="1:11" x14ac:dyDescent="0.2">
      <c r="A34" s="101">
        <f>'My PLs'!E49</f>
        <v>924465.69000000099</v>
      </c>
      <c r="B34" s="183"/>
      <c r="C34" s="101">
        <f>'Car Loan'!E36</f>
        <v>1054945</v>
      </c>
      <c r="D34" s="101"/>
      <c r="E34" s="183"/>
      <c r="F34" s="101"/>
      <c r="G34" s="101"/>
      <c r="H34" s="101"/>
      <c r="I34" s="153">
        <v>44317</v>
      </c>
      <c r="J34" s="154">
        <f t="shared" ref="J34:J65" si="2">SUM(A34:G34)</f>
        <v>1979410.6900000009</v>
      </c>
      <c r="K34" s="159"/>
    </row>
    <row r="35" spans="1:11" x14ac:dyDescent="0.2">
      <c r="A35" s="101">
        <f>'My PLs'!E50</f>
        <v>856925.15000000095</v>
      </c>
      <c r="B35" s="183"/>
      <c r="C35" s="101">
        <f>'Car Loan'!E37</f>
        <v>1037668</v>
      </c>
      <c r="D35" s="101"/>
      <c r="E35" s="183"/>
      <c r="F35" s="101"/>
      <c r="G35" s="101"/>
      <c r="H35" s="101"/>
      <c r="I35" s="153">
        <v>44348</v>
      </c>
      <c r="J35" s="154">
        <f t="shared" si="2"/>
        <v>1894593.1500000008</v>
      </c>
      <c r="K35" s="159"/>
    </row>
    <row r="36" spans="1:11" x14ac:dyDescent="0.2">
      <c r="A36" s="101">
        <f>'My PLs'!E51</f>
        <v>788807.700000001</v>
      </c>
      <c r="B36" s="183"/>
      <c r="C36" s="101">
        <f>'Car Loan'!E38</f>
        <v>1020252</v>
      </c>
      <c r="D36" s="101"/>
      <c r="E36" s="183"/>
      <c r="F36" s="101"/>
      <c r="G36" s="101"/>
      <c r="H36" s="101"/>
      <c r="I36" s="153">
        <v>44378</v>
      </c>
      <c r="J36" s="154">
        <f t="shared" si="2"/>
        <v>1809059.7000000011</v>
      </c>
      <c r="K36" s="159"/>
    </row>
    <row r="37" spans="1:11" x14ac:dyDescent="0.2">
      <c r="A37" s="101">
        <f>'My PLs'!E52</f>
        <v>720108.42000000097</v>
      </c>
      <c r="B37" s="183"/>
      <c r="C37" s="101">
        <f>'Car Loan'!E39</f>
        <v>1002696</v>
      </c>
      <c r="D37" s="101"/>
      <c r="E37" s="183"/>
      <c r="F37" s="101"/>
      <c r="G37" s="101"/>
      <c r="H37" s="101"/>
      <c r="I37" s="153">
        <v>44409</v>
      </c>
      <c r="J37" s="154">
        <f t="shared" si="2"/>
        <v>1722804.4200000009</v>
      </c>
      <c r="K37" s="159"/>
    </row>
    <row r="38" spans="1:11" x14ac:dyDescent="0.2">
      <c r="A38" s="101">
        <f>'My PLs'!E53</f>
        <v>650822.33000000101</v>
      </c>
      <c r="B38" s="183"/>
      <c r="C38" s="101">
        <f>'Car Loan'!E40</f>
        <v>984999</v>
      </c>
      <c r="D38" s="101"/>
      <c r="E38" s="183"/>
      <c r="F38" s="101"/>
      <c r="G38" s="101"/>
      <c r="H38" s="101"/>
      <c r="I38" s="153">
        <v>44440</v>
      </c>
      <c r="J38" s="154">
        <f t="shared" si="2"/>
        <v>1635821.330000001</v>
      </c>
      <c r="K38" s="159"/>
    </row>
    <row r="39" spans="1:11" x14ac:dyDescent="0.2">
      <c r="A39" s="101">
        <f>'My PLs'!E54</f>
        <v>580944.43000000098</v>
      </c>
      <c r="B39" s="183"/>
      <c r="C39" s="101">
        <f>'Car Loan'!E41</f>
        <v>967160</v>
      </c>
      <c r="D39" s="101"/>
      <c r="E39" s="183"/>
      <c r="F39" s="101"/>
      <c r="G39" s="101"/>
      <c r="H39" s="101"/>
      <c r="I39" s="153">
        <v>44470</v>
      </c>
      <c r="J39" s="154">
        <f t="shared" si="2"/>
        <v>1548104.4300000011</v>
      </c>
      <c r="K39" s="159"/>
    </row>
    <row r="40" spans="1:11" x14ac:dyDescent="0.2">
      <c r="A40" s="101">
        <f>'My PLs'!E55</f>
        <v>510469.65000000095</v>
      </c>
      <c r="B40" s="183"/>
      <c r="C40" s="101">
        <f>'Car Loan'!E42</f>
        <v>949177</v>
      </c>
      <c r="D40" s="101"/>
      <c r="E40" s="183"/>
      <c r="F40" s="101"/>
      <c r="G40" s="101"/>
      <c r="H40" s="101"/>
      <c r="I40" s="153">
        <v>44501</v>
      </c>
      <c r="J40" s="154">
        <f t="shared" si="2"/>
        <v>1459646.6500000008</v>
      </c>
      <c r="K40" s="159"/>
    </row>
    <row r="41" spans="1:11" x14ac:dyDescent="0.2">
      <c r="A41" s="101">
        <f>'My PLs'!E56</f>
        <v>439392.90000000095</v>
      </c>
      <c r="B41" s="183"/>
      <c r="C41" s="101">
        <f>'Car Loan'!E43</f>
        <v>931050</v>
      </c>
      <c r="D41" s="101"/>
      <c r="E41" s="183"/>
      <c r="F41" s="101"/>
      <c r="G41" s="101"/>
      <c r="H41" s="101"/>
      <c r="I41" s="153">
        <v>44531</v>
      </c>
      <c r="J41" s="154">
        <f t="shared" si="2"/>
        <v>1370442.9000000008</v>
      </c>
      <c r="K41" s="159"/>
    </row>
    <row r="42" spans="1:11" x14ac:dyDescent="0.2">
      <c r="A42" s="101">
        <f>'My PLs'!E57</f>
        <v>367709.04000000097</v>
      </c>
      <c r="B42" s="183"/>
      <c r="C42" s="101">
        <f>'Car Loan'!E44</f>
        <v>912777</v>
      </c>
      <c r="D42" s="101"/>
      <c r="E42" s="183"/>
      <c r="F42" s="101"/>
      <c r="G42" s="101"/>
      <c r="H42" s="101"/>
      <c r="I42" s="153">
        <v>44562</v>
      </c>
      <c r="J42" s="154">
        <f t="shared" si="2"/>
        <v>1280486.040000001</v>
      </c>
      <c r="K42" s="159"/>
    </row>
    <row r="43" spans="1:11" x14ac:dyDescent="0.2">
      <c r="A43" s="101">
        <f>'My PLs'!E58</f>
        <v>295412.88000000094</v>
      </c>
      <c r="B43" s="183"/>
      <c r="C43" s="101">
        <f>'Car Loan'!E45</f>
        <v>894357</v>
      </c>
      <c r="D43" s="101"/>
      <c r="E43" s="183"/>
      <c r="F43" s="101"/>
      <c r="G43" s="101"/>
      <c r="H43" s="101"/>
      <c r="I43" s="153">
        <v>44593</v>
      </c>
      <c r="J43" s="154">
        <f t="shared" si="2"/>
        <v>1189769.8800000008</v>
      </c>
      <c r="K43" s="159"/>
    </row>
    <row r="44" spans="1:11" x14ac:dyDescent="0.2">
      <c r="A44" s="101">
        <f>'My PLs'!E59</f>
        <v>222499.19000000093</v>
      </c>
      <c r="B44" s="183"/>
      <c r="C44" s="101">
        <f>'Car Loan'!E46</f>
        <v>875789</v>
      </c>
      <c r="D44" s="101"/>
      <c r="E44" s="183"/>
      <c r="F44" s="101"/>
      <c r="G44" s="101"/>
      <c r="H44" s="101"/>
      <c r="I44" s="153">
        <v>44621</v>
      </c>
      <c r="J44" s="154">
        <f t="shared" si="2"/>
        <v>1098288.1900000009</v>
      </c>
      <c r="K44" s="159"/>
    </row>
    <row r="45" spans="1:11" x14ac:dyDescent="0.2">
      <c r="A45" s="101">
        <f>'My PLs'!E60</f>
        <v>148962.70000000094</v>
      </c>
      <c r="B45" s="183"/>
      <c r="C45" s="101">
        <f>'Car Loan'!E47</f>
        <v>857071</v>
      </c>
      <c r="D45" s="101"/>
      <c r="E45" s="183"/>
      <c r="F45" s="101"/>
      <c r="G45" s="101"/>
      <c r="H45" s="101"/>
      <c r="I45" s="153">
        <v>44652</v>
      </c>
      <c r="J45" s="154">
        <f t="shared" si="2"/>
        <v>1006033.7000000009</v>
      </c>
      <c r="K45" s="159"/>
    </row>
    <row r="46" spans="1:11" x14ac:dyDescent="0.2">
      <c r="A46" s="101">
        <f>'My PLs'!E61</f>
        <v>74798.090000000942</v>
      </c>
      <c r="B46" s="183"/>
      <c r="C46" s="101">
        <f>'Car Loan'!E48</f>
        <v>838203</v>
      </c>
      <c r="D46" s="101"/>
      <c r="E46" s="183"/>
      <c r="F46" s="101"/>
      <c r="G46" s="101"/>
      <c r="H46" s="101"/>
      <c r="I46" s="153">
        <v>44682</v>
      </c>
      <c r="J46" s="154">
        <f t="shared" si="2"/>
        <v>913001.0900000009</v>
      </c>
      <c r="K46" s="159"/>
    </row>
    <row r="47" spans="1:11" x14ac:dyDescent="0.2">
      <c r="A47" s="101">
        <f>'My PLs'!E62</f>
        <v>9.4587448984384537E-10</v>
      </c>
      <c r="B47" s="183"/>
      <c r="C47" s="101">
        <f>'Car Loan'!E49</f>
        <v>819183</v>
      </c>
      <c r="D47" s="101"/>
      <c r="E47" s="183"/>
      <c r="F47" s="101"/>
      <c r="G47" s="101"/>
      <c r="H47" s="101"/>
      <c r="I47" s="153">
        <v>44713</v>
      </c>
      <c r="J47" s="154">
        <f t="shared" si="2"/>
        <v>819183.00000000093</v>
      </c>
      <c r="K47" s="159"/>
    </row>
    <row r="48" spans="1:11" x14ac:dyDescent="0.2">
      <c r="A48" s="101">
        <f>'My PLs'!E63</f>
        <v>0</v>
      </c>
      <c r="B48" s="183"/>
      <c r="C48" s="101">
        <f>'Car Loan'!E50</f>
        <v>800010</v>
      </c>
      <c r="D48" s="101"/>
      <c r="E48" s="183"/>
      <c r="F48" s="101"/>
      <c r="G48" s="101"/>
      <c r="H48" s="101"/>
      <c r="I48" s="153">
        <v>44743</v>
      </c>
      <c r="J48" s="154">
        <f t="shared" si="2"/>
        <v>800010</v>
      </c>
      <c r="K48" s="159"/>
    </row>
    <row r="49" spans="1:11" x14ac:dyDescent="0.2">
      <c r="A49" s="101">
        <f>'My PLs'!E64</f>
        <v>0</v>
      </c>
      <c r="B49" s="183"/>
      <c r="C49" s="101">
        <f>'Car Loan'!E51</f>
        <v>780683</v>
      </c>
      <c r="D49" s="101"/>
      <c r="E49" s="183"/>
      <c r="F49" s="101"/>
      <c r="G49" s="101"/>
      <c r="H49" s="101"/>
      <c r="I49" s="153">
        <v>44774</v>
      </c>
      <c r="J49" s="154">
        <f t="shared" si="2"/>
        <v>780683</v>
      </c>
      <c r="K49" s="159"/>
    </row>
    <row r="50" spans="1:11" x14ac:dyDescent="0.2">
      <c r="A50" s="101">
        <f>'My PLs'!E65</f>
        <v>0</v>
      </c>
      <c r="B50" s="183"/>
      <c r="C50" s="101">
        <f>'Car Loan'!E52</f>
        <v>761201</v>
      </c>
      <c r="D50" s="101"/>
      <c r="E50" s="183"/>
      <c r="F50" s="101"/>
      <c r="G50" s="101"/>
      <c r="H50" s="101"/>
      <c r="I50" s="153">
        <v>44805</v>
      </c>
      <c r="J50" s="154">
        <f t="shared" si="2"/>
        <v>761201</v>
      </c>
      <c r="K50" s="159"/>
    </row>
    <row r="51" spans="1:11" x14ac:dyDescent="0.2">
      <c r="A51" s="101">
        <f>'My PLs'!E66</f>
        <v>0</v>
      </c>
      <c r="B51" s="183"/>
      <c r="C51" s="101">
        <f>'Car Loan'!E53</f>
        <v>741562</v>
      </c>
      <c r="D51" s="101"/>
      <c r="E51" s="183"/>
      <c r="F51" s="101"/>
      <c r="G51" s="101"/>
      <c r="H51" s="101"/>
      <c r="I51" s="153">
        <v>44835</v>
      </c>
      <c r="J51" s="154">
        <f t="shared" si="2"/>
        <v>741562</v>
      </c>
      <c r="K51" s="159"/>
    </row>
    <row r="52" spans="1:11" x14ac:dyDescent="0.2">
      <c r="A52" s="101">
        <f>'My PLs'!E67</f>
        <v>0</v>
      </c>
      <c r="B52" s="183"/>
      <c r="C52" s="101">
        <f>'Car Loan'!E54</f>
        <v>721765</v>
      </c>
      <c r="D52" s="101"/>
      <c r="E52" s="183"/>
      <c r="F52" s="101"/>
      <c r="G52" s="101"/>
      <c r="H52" s="101"/>
      <c r="I52" s="153">
        <v>44866</v>
      </c>
      <c r="J52" s="154">
        <f t="shared" si="2"/>
        <v>721765</v>
      </c>
      <c r="K52" s="159"/>
    </row>
    <row r="53" spans="1:11" x14ac:dyDescent="0.2">
      <c r="A53" s="101">
        <f>'My PLs'!E68</f>
        <v>0</v>
      </c>
      <c r="B53" s="183"/>
      <c r="C53" s="101">
        <f>'Car Loan'!E55</f>
        <v>701809</v>
      </c>
      <c r="D53" s="101"/>
      <c r="E53" s="183"/>
      <c r="F53" s="101"/>
      <c r="G53" s="101"/>
      <c r="H53" s="101"/>
      <c r="I53" s="153">
        <v>44896</v>
      </c>
      <c r="J53" s="154">
        <f t="shared" si="2"/>
        <v>701809</v>
      </c>
      <c r="K53" s="159"/>
    </row>
    <row r="54" spans="1:11" x14ac:dyDescent="0.2">
      <c r="A54" s="101">
        <f>'My PLs'!E69</f>
        <v>0</v>
      </c>
      <c r="B54" s="183"/>
      <c r="C54" s="101">
        <f>'Car Loan'!E56</f>
        <v>681692</v>
      </c>
      <c r="D54" s="101"/>
      <c r="E54" s="183"/>
      <c r="F54" s="101"/>
      <c r="G54" s="101"/>
      <c r="H54" s="101"/>
      <c r="I54" s="153">
        <v>44927</v>
      </c>
      <c r="J54" s="154">
        <f t="shared" si="2"/>
        <v>681692</v>
      </c>
      <c r="K54" s="159"/>
    </row>
    <row r="55" spans="1:11" x14ac:dyDescent="0.2">
      <c r="A55" s="101">
        <f>'My PLs'!E70</f>
        <v>0</v>
      </c>
      <c r="B55" s="183"/>
      <c r="C55" s="101">
        <f>'Car Loan'!E57</f>
        <v>661413</v>
      </c>
      <c r="D55" s="101"/>
      <c r="E55" s="183"/>
      <c r="F55" s="101"/>
      <c r="G55" s="101"/>
      <c r="H55" s="101"/>
      <c r="I55" s="153">
        <v>44958</v>
      </c>
      <c r="J55" s="154">
        <f t="shared" si="2"/>
        <v>661413</v>
      </c>
      <c r="K55" s="159"/>
    </row>
    <row r="56" spans="1:11" x14ac:dyDescent="0.2">
      <c r="A56" s="101">
        <f>'My PLs'!E71</f>
        <v>0</v>
      </c>
      <c r="B56" s="183"/>
      <c r="C56" s="101">
        <f>'Car Loan'!E58</f>
        <v>640971</v>
      </c>
      <c r="D56" s="101"/>
      <c r="E56" s="183"/>
      <c r="F56" s="101"/>
      <c r="G56" s="101"/>
      <c r="H56" s="101"/>
      <c r="I56" s="153">
        <v>44986</v>
      </c>
      <c r="J56" s="154">
        <f t="shared" si="2"/>
        <v>640971</v>
      </c>
      <c r="K56" s="159"/>
    </row>
    <row r="57" spans="1:11" x14ac:dyDescent="0.2">
      <c r="A57" s="101">
        <f>'My PLs'!E72</f>
        <v>0</v>
      </c>
      <c r="B57" s="183"/>
      <c r="C57" s="101">
        <f>'Car Loan'!E59</f>
        <v>620365</v>
      </c>
      <c r="D57" s="101"/>
      <c r="E57" s="183"/>
      <c r="F57" s="101"/>
      <c r="G57" s="101"/>
      <c r="H57" s="101"/>
      <c r="I57" s="153">
        <v>45017</v>
      </c>
      <c r="J57" s="154">
        <f t="shared" si="2"/>
        <v>620365</v>
      </c>
      <c r="K57" s="159"/>
    </row>
    <row r="58" spans="1:11" x14ac:dyDescent="0.2">
      <c r="A58" s="101">
        <f>'My PLs'!E73</f>
        <v>0</v>
      </c>
      <c r="B58" s="183">
        <f>'My PLs'!T62</f>
        <v>0</v>
      </c>
      <c r="C58" s="101">
        <f>'Car Loan'!E60</f>
        <v>599593</v>
      </c>
      <c r="D58" s="101"/>
      <c r="E58" s="183"/>
      <c r="F58" s="101"/>
      <c r="G58" s="101"/>
      <c r="H58" s="101"/>
      <c r="I58" s="153">
        <v>45047</v>
      </c>
      <c r="J58" s="154">
        <f t="shared" si="2"/>
        <v>599593</v>
      </c>
      <c r="K58" s="159"/>
    </row>
    <row r="59" spans="1:11" x14ac:dyDescent="0.2">
      <c r="A59" s="101">
        <f>'My PLs'!E74</f>
        <v>0</v>
      </c>
      <c r="B59" s="183"/>
      <c r="C59" s="101">
        <f>'Car Loan'!E61</f>
        <v>578654</v>
      </c>
      <c r="D59" s="101"/>
      <c r="E59" s="183"/>
      <c r="F59" s="101"/>
      <c r="G59" s="101"/>
      <c r="H59" s="101"/>
      <c r="I59" s="153">
        <v>45078</v>
      </c>
      <c r="J59" s="154">
        <f t="shared" si="2"/>
        <v>578654</v>
      </c>
      <c r="K59" s="159"/>
    </row>
    <row r="60" spans="1:11" x14ac:dyDescent="0.2">
      <c r="A60" s="101">
        <f>'My PLs'!E75</f>
        <v>0</v>
      </c>
      <c r="B60" s="183"/>
      <c r="C60" s="101">
        <f>'Car Loan'!E62</f>
        <v>557546</v>
      </c>
      <c r="D60" s="101"/>
      <c r="E60" s="183"/>
      <c r="F60" s="101"/>
      <c r="G60" s="101"/>
      <c r="H60" s="101"/>
      <c r="I60" s="153">
        <v>45108</v>
      </c>
      <c r="J60" s="154">
        <f t="shared" si="2"/>
        <v>557546</v>
      </c>
      <c r="K60" s="159"/>
    </row>
    <row r="61" spans="1:11" x14ac:dyDescent="0.2">
      <c r="A61" s="101">
        <f>'My PLs'!E76</f>
        <v>0</v>
      </c>
      <c r="B61" s="183"/>
      <c r="C61" s="101">
        <f>'Car Loan'!E63</f>
        <v>536268</v>
      </c>
      <c r="D61" s="101"/>
      <c r="E61" s="183"/>
      <c r="F61" s="101"/>
      <c r="G61" s="101"/>
      <c r="H61" s="101"/>
      <c r="I61" s="153">
        <v>45139</v>
      </c>
      <c r="J61" s="154">
        <f t="shared" si="2"/>
        <v>536268</v>
      </c>
      <c r="K61" s="159"/>
    </row>
    <row r="62" spans="1:11" x14ac:dyDescent="0.2">
      <c r="A62" s="101">
        <f>'My PLs'!E77</f>
        <v>0</v>
      </c>
      <c r="B62" s="183"/>
      <c r="C62" s="101">
        <f>'Car Loan'!E64</f>
        <v>514819</v>
      </c>
      <c r="D62" s="101"/>
      <c r="E62" s="183"/>
      <c r="F62" s="101"/>
      <c r="G62" s="101"/>
      <c r="H62" s="101"/>
      <c r="I62" s="153">
        <v>45170</v>
      </c>
      <c r="J62" s="154">
        <f t="shared" si="2"/>
        <v>514819</v>
      </c>
      <c r="K62" s="159"/>
    </row>
    <row r="63" spans="1:11" x14ac:dyDescent="0.2">
      <c r="A63" s="101">
        <f>'My PLs'!E78</f>
        <v>0</v>
      </c>
      <c r="B63" s="183"/>
      <c r="C63" s="101">
        <f>'Car Loan'!E65</f>
        <v>493198</v>
      </c>
      <c r="D63" s="101"/>
      <c r="E63" s="183"/>
      <c r="F63" s="101"/>
      <c r="G63" s="101"/>
      <c r="H63" s="101"/>
      <c r="I63" s="153">
        <v>45200</v>
      </c>
      <c r="J63" s="154">
        <f t="shared" si="2"/>
        <v>493198</v>
      </c>
      <c r="K63" s="159"/>
    </row>
    <row r="64" spans="1:11" x14ac:dyDescent="0.2">
      <c r="A64" s="101">
        <f>'My PLs'!E79</f>
        <v>0</v>
      </c>
      <c r="B64" s="183"/>
      <c r="C64" s="101">
        <f>'Car Loan'!E66</f>
        <v>471403</v>
      </c>
      <c r="D64" s="101"/>
      <c r="E64" s="183"/>
      <c r="F64" s="101"/>
      <c r="G64" s="101"/>
      <c r="H64" s="101"/>
      <c r="I64" s="153">
        <v>45231</v>
      </c>
      <c r="J64" s="154">
        <f t="shared" si="2"/>
        <v>471403</v>
      </c>
      <c r="K64" s="159"/>
    </row>
    <row r="65" spans="1:11" x14ac:dyDescent="0.2">
      <c r="A65" s="101">
        <f>'My PLs'!E80</f>
        <v>0</v>
      </c>
      <c r="B65" s="183"/>
      <c r="C65" s="101">
        <f>'Car Loan'!E67</f>
        <v>449432</v>
      </c>
      <c r="D65" s="101"/>
      <c r="E65" s="183"/>
      <c r="F65" s="101"/>
      <c r="G65" s="101"/>
      <c r="H65" s="101"/>
      <c r="I65" s="153">
        <v>45261</v>
      </c>
      <c r="J65" s="154">
        <f t="shared" si="2"/>
        <v>449432</v>
      </c>
      <c r="K65" s="159"/>
    </row>
    <row r="66" spans="1:11" x14ac:dyDescent="0.2">
      <c r="A66" s="101">
        <f>'My PLs'!E81</f>
        <v>0</v>
      </c>
      <c r="B66" s="183"/>
      <c r="C66" s="101">
        <f>'Car Loan'!E68</f>
        <v>427284</v>
      </c>
      <c r="D66" s="101"/>
      <c r="E66" s="183"/>
      <c r="F66" s="101"/>
      <c r="G66" s="101"/>
      <c r="H66" s="101"/>
      <c r="I66" s="153">
        <v>45292</v>
      </c>
      <c r="J66" s="154">
        <f t="shared" ref="J66:J72" si="3">SUM(A66:G66)</f>
        <v>427284</v>
      </c>
      <c r="K66" s="159"/>
    </row>
    <row r="67" spans="1:11" x14ac:dyDescent="0.2">
      <c r="A67" s="101">
        <f>'My PLs'!E82</f>
        <v>0</v>
      </c>
      <c r="B67" s="183"/>
      <c r="C67" s="101">
        <f>'Car Loan'!E69</f>
        <v>404958</v>
      </c>
      <c r="D67" s="101"/>
      <c r="E67" s="183"/>
      <c r="F67" s="101"/>
      <c r="G67" s="101"/>
      <c r="H67" s="101"/>
      <c r="I67" s="153">
        <v>45323</v>
      </c>
      <c r="J67" s="154">
        <f t="shared" si="3"/>
        <v>404958</v>
      </c>
      <c r="K67" s="159"/>
    </row>
    <row r="68" spans="1:11" x14ac:dyDescent="0.2">
      <c r="A68" s="101">
        <f>'My PLs'!E83</f>
        <v>0</v>
      </c>
      <c r="B68" s="183"/>
      <c r="C68" s="101">
        <f>'Car Loan'!E70</f>
        <v>382452</v>
      </c>
      <c r="D68" s="101"/>
      <c r="E68" s="183"/>
      <c r="F68" s="101"/>
      <c r="G68" s="101"/>
      <c r="H68" s="101"/>
      <c r="I68" s="153">
        <v>45352</v>
      </c>
      <c r="J68" s="154">
        <f t="shared" si="3"/>
        <v>382452</v>
      </c>
      <c r="K68" s="159"/>
    </row>
    <row r="69" spans="1:11" x14ac:dyDescent="0.2">
      <c r="A69" s="101">
        <f>'My PLs'!E84</f>
        <v>0</v>
      </c>
      <c r="B69" s="183"/>
      <c r="C69" s="101">
        <f>'Car Loan'!E71</f>
        <v>359765</v>
      </c>
      <c r="D69" s="101"/>
      <c r="E69" s="183"/>
      <c r="F69" s="101"/>
      <c r="G69" s="101"/>
      <c r="H69" s="101"/>
      <c r="I69" s="153">
        <v>45383</v>
      </c>
      <c r="J69" s="154">
        <f t="shared" si="3"/>
        <v>359765</v>
      </c>
      <c r="K69" s="159"/>
    </row>
    <row r="70" spans="1:11" x14ac:dyDescent="0.2">
      <c r="A70" s="101">
        <f>'My PLs'!E85</f>
        <v>0</v>
      </c>
      <c r="B70" s="183"/>
      <c r="C70" s="101">
        <f>'Car Loan'!E72</f>
        <v>336896</v>
      </c>
      <c r="D70" s="101"/>
      <c r="E70" s="183"/>
      <c r="F70" s="101"/>
      <c r="G70" s="101"/>
      <c r="H70" s="101"/>
      <c r="I70" s="153">
        <v>45413</v>
      </c>
      <c r="J70" s="154">
        <f t="shared" si="3"/>
        <v>336896</v>
      </c>
      <c r="K70" s="159"/>
    </row>
    <row r="71" spans="1:11" x14ac:dyDescent="0.2">
      <c r="A71" s="101">
        <f>'My PLs'!E86</f>
        <v>0</v>
      </c>
      <c r="B71" s="183"/>
      <c r="C71" s="101">
        <f>'Car Loan'!E73</f>
        <v>313843</v>
      </c>
      <c r="D71" s="101"/>
      <c r="E71" s="183"/>
      <c r="F71" s="101"/>
      <c r="G71" s="101"/>
      <c r="H71" s="101"/>
      <c r="I71" s="153">
        <v>45444</v>
      </c>
      <c r="J71" s="154">
        <f t="shared" si="3"/>
        <v>313843</v>
      </c>
      <c r="K71" s="159"/>
    </row>
    <row r="72" spans="1:11" x14ac:dyDescent="0.2">
      <c r="A72" s="101">
        <f>'My PLs'!E87</f>
        <v>0</v>
      </c>
      <c r="B72" s="183"/>
      <c r="C72" s="101">
        <f>'Car Loan'!E74</f>
        <v>290604</v>
      </c>
      <c r="D72" s="101"/>
      <c r="E72" s="183"/>
      <c r="F72" s="101"/>
      <c r="G72" s="101"/>
      <c r="H72" s="101"/>
      <c r="I72" s="153">
        <v>45474</v>
      </c>
      <c r="J72" s="154">
        <f t="shared" si="3"/>
        <v>290604</v>
      </c>
      <c r="K72" s="159"/>
    </row>
    <row r="73" spans="1:11" x14ac:dyDescent="0.2">
      <c r="A73" s="101">
        <f>'My PLs'!E88</f>
        <v>0</v>
      </c>
      <c r="B73" s="183"/>
      <c r="C73" s="101">
        <f>'Car Loan'!E75</f>
        <v>267178</v>
      </c>
      <c r="D73" s="101"/>
      <c r="E73" s="183"/>
      <c r="F73" s="101"/>
      <c r="G73" s="101"/>
      <c r="H73" s="101"/>
      <c r="I73" s="153">
        <v>45505</v>
      </c>
      <c r="J73" s="154">
        <f>SUM(A73:G73)</f>
        <v>267178</v>
      </c>
      <c r="K73" s="159"/>
    </row>
    <row r="74" spans="1:11" x14ac:dyDescent="0.2">
      <c r="A74" s="101">
        <f>'My PLs'!E89</f>
        <v>0</v>
      </c>
      <c r="B74" s="183"/>
      <c r="C74" s="101">
        <f>'Car Loan'!E76</f>
        <v>243563</v>
      </c>
      <c r="D74" s="101"/>
      <c r="E74" s="183"/>
      <c r="F74" s="101"/>
      <c r="G74" s="101"/>
      <c r="H74" s="101"/>
      <c r="I74" s="153">
        <v>45536</v>
      </c>
      <c r="J74" s="154">
        <f t="shared" ref="J74:J84" si="4">SUM(A74:G74)</f>
        <v>243563</v>
      </c>
      <c r="K74" s="159"/>
    </row>
    <row r="75" spans="1:11" x14ac:dyDescent="0.2">
      <c r="A75" s="101">
        <f>'My PLs'!E90</f>
        <v>0</v>
      </c>
      <c r="B75" s="183"/>
      <c r="C75" s="101">
        <f>'Car Loan'!E77</f>
        <v>219758</v>
      </c>
      <c r="D75" s="101"/>
      <c r="E75" s="183"/>
      <c r="F75" s="101"/>
      <c r="G75" s="101"/>
      <c r="H75" s="101"/>
      <c r="I75" s="153">
        <v>45566</v>
      </c>
      <c r="J75" s="154">
        <f t="shared" si="4"/>
        <v>219758</v>
      </c>
      <c r="K75" s="159"/>
    </row>
    <row r="76" spans="1:11" x14ac:dyDescent="0.2">
      <c r="A76" s="101">
        <f>'My PLs'!E91</f>
        <v>0</v>
      </c>
      <c r="B76" s="183"/>
      <c r="C76" s="101">
        <f>'Car Loan'!E78</f>
        <v>195759</v>
      </c>
      <c r="D76" s="101"/>
      <c r="E76" s="183"/>
      <c r="F76" s="101"/>
      <c r="G76" s="101"/>
      <c r="H76" s="101"/>
      <c r="I76" s="153">
        <v>45597</v>
      </c>
      <c r="J76" s="154">
        <f t="shared" si="4"/>
        <v>195759</v>
      </c>
      <c r="K76" s="159"/>
    </row>
    <row r="77" spans="1:11" x14ac:dyDescent="0.2">
      <c r="A77" s="101"/>
      <c r="B77" s="183"/>
      <c r="C77" s="101">
        <f>'Car Loan'!E79</f>
        <v>171570</v>
      </c>
      <c r="D77" s="101"/>
      <c r="E77" s="183"/>
      <c r="F77" s="101"/>
      <c r="G77" s="101"/>
      <c r="H77" s="101"/>
      <c r="I77" s="153">
        <v>45627</v>
      </c>
      <c r="J77" s="154">
        <f t="shared" si="4"/>
        <v>171570</v>
      </c>
      <c r="K77" s="159"/>
    </row>
    <row r="78" spans="1:11" x14ac:dyDescent="0.2">
      <c r="A78" s="101"/>
      <c r="B78" s="183"/>
      <c r="C78" s="101">
        <f>'Car Loan'!E80</f>
        <v>147186</v>
      </c>
      <c r="D78" s="101"/>
      <c r="E78" s="183"/>
      <c r="F78" s="101"/>
      <c r="G78" s="101"/>
      <c r="H78" s="101"/>
      <c r="I78" s="153">
        <v>45658</v>
      </c>
      <c r="J78" s="154">
        <f t="shared" si="4"/>
        <v>147186</v>
      </c>
      <c r="K78" s="159"/>
    </row>
    <row r="79" spans="1:11" x14ac:dyDescent="0.2">
      <c r="A79" s="101"/>
      <c r="B79" s="183"/>
      <c r="C79" s="101">
        <f>'Car Loan'!E81</f>
        <v>122605</v>
      </c>
      <c r="D79" s="101"/>
      <c r="E79" s="183"/>
      <c r="F79" s="101"/>
      <c r="G79" s="101"/>
      <c r="H79" s="101"/>
      <c r="I79" s="153">
        <v>45689</v>
      </c>
      <c r="J79" s="154">
        <f t="shared" si="4"/>
        <v>122605</v>
      </c>
      <c r="K79" s="159"/>
    </row>
    <row r="80" spans="1:11" x14ac:dyDescent="0.2">
      <c r="A80" s="101"/>
      <c r="B80" s="183"/>
      <c r="C80" s="101">
        <f>'Car Loan'!E82</f>
        <v>97827</v>
      </c>
      <c r="D80" s="101"/>
      <c r="E80" s="183"/>
      <c r="F80" s="101"/>
      <c r="G80" s="101"/>
      <c r="H80" s="101"/>
      <c r="I80" s="153">
        <v>45717</v>
      </c>
      <c r="J80" s="154">
        <f t="shared" si="4"/>
        <v>97827</v>
      </c>
      <c r="K80" s="159"/>
    </row>
    <row r="81" spans="1:11" x14ac:dyDescent="0.2">
      <c r="A81" s="101"/>
      <c r="B81" s="183"/>
      <c r="C81" s="101">
        <f>'Car Loan'!E83</f>
        <v>72849</v>
      </c>
      <c r="D81" s="101"/>
      <c r="E81" s="183"/>
      <c r="F81" s="101"/>
      <c r="G81" s="101"/>
      <c r="H81" s="101"/>
      <c r="I81" s="153">
        <v>45748</v>
      </c>
      <c r="J81" s="154">
        <f t="shared" si="4"/>
        <v>72849</v>
      </c>
      <c r="K81" s="159"/>
    </row>
    <row r="82" spans="1:11" x14ac:dyDescent="0.2">
      <c r="A82" s="101"/>
      <c r="B82" s="183"/>
      <c r="C82" s="101">
        <f>'Car Loan'!E84</f>
        <v>47670</v>
      </c>
      <c r="D82" s="101"/>
      <c r="E82" s="183"/>
      <c r="F82" s="101"/>
      <c r="G82" s="101"/>
      <c r="H82" s="101"/>
      <c r="I82" s="153">
        <v>45778</v>
      </c>
      <c r="J82" s="154">
        <f t="shared" si="4"/>
        <v>47670</v>
      </c>
      <c r="K82" s="159"/>
    </row>
    <row r="83" spans="1:11" x14ac:dyDescent="0.2">
      <c r="A83" s="101"/>
      <c r="B83" s="183"/>
      <c r="C83" s="101">
        <f>'Car Loan'!E85</f>
        <v>22288</v>
      </c>
      <c r="D83" s="101"/>
      <c r="E83" s="183"/>
      <c r="F83" s="101"/>
      <c r="G83" s="101"/>
      <c r="H83" s="101"/>
      <c r="I83" s="153">
        <v>45809</v>
      </c>
      <c r="J83" s="154">
        <f t="shared" si="4"/>
        <v>22288</v>
      </c>
      <c r="K83" s="159"/>
    </row>
    <row r="84" spans="1:11" x14ac:dyDescent="0.2">
      <c r="A84" s="101"/>
      <c r="B84" s="183"/>
      <c r="C84" s="101">
        <f>'Car Loan'!E86</f>
        <v>-3298</v>
      </c>
      <c r="D84" s="101"/>
      <c r="E84" s="183"/>
      <c r="F84" s="101"/>
      <c r="G84" s="101"/>
      <c r="H84" s="101"/>
      <c r="I84" s="153">
        <v>45839</v>
      </c>
      <c r="J84" s="154">
        <f t="shared" si="4"/>
        <v>-3298</v>
      </c>
      <c r="K84" s="159"/>
    </row>
    <row r="85" spans="1:11" ht="15" x14ac:dyDescent="0.25">
      <c r="C85" s="11"/>
    </row>
    <row r="86" spans="1:11" ht="15" x14ac:dyDescent="0.25">
      <c r="C86" s="11"/>
    </row>
    <row r="87" spans="1:11" ht="15" x14ac:dyDescent="0.25">
      <c r="C87" s="11"/>
    </row>
    <row r="88" spans="1:11" ht="15" x14ac:dyDescent="0.25">
      <c r="C88" s="11"/>
    </row>
    <row r="89" spans="1:11" ht="15" x14ac:dyDescent="0.25">
      <c r="C89" s="11"/>
    </row>
    <row r="90" spans="1:11" ht="15" x14ac:dyDescent="0.25">
      <c r="C90" s="11"/>
    </row>
    <row r="91" spans="1:11" ht="15" x14ac:dyDescent="0.25">
      <c r="C91" s="11"/>
    </row>
    <row r="92" spans="1:11" ht="15" x14ac:dyDescent="0.25">
      <c r="C92" s="11"/>
    </row>
    <row r="93" spans="1:11" ht="15" x14ac:dyDescent="0.25">
      <c r="C93" s="11"/>
    </row>
    <row r="94" spans="1:11" ht="15" x14ac:dyDescent="0.25">
      <c r="C94" s="11"/>
    </row>
  </sheetData>
  <conditionalFormatting sqref="I2:I84">
    <cfRule type="cellIs" dxfId="0" priority="1" operator="equal">
      <formula>MONTH(TODAY())</formula>
    </cfRule>
  </conditionalFormatting>
  <pageMargins left="0.7" right="0.7" top="0.75" bottom="0.75" header="0.3" footer="0.3"/>
  <pageSetup orientation="portrait" r:id="rId1"/>
  <ignoredErrors>
    <ignoredError sqref="J3:J8 J9:J14 J15:J40" formulaRange="1"/>
  </ignoredErrors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4"/>
  <dimension ref="B1:AC38"/>
  <sheetViews>
    <sheetView zoomScaleNormal="100" workbookViewId="0">
      <selection activeCell="G18" sqref="G18"/>
    </sheetView>
  </sheetViews>
  <sheetFormatPr defaultRowHeight="15" x14ac:dyDescent="0.25"/>
  <cols>
    <col min="2" max="2" width="28.7109375" bestFit="1" customWidth="1"/>
    <col min="3" max="3" width="12.5703125" bestFit="1" customWidth="1"/>
    <col min="4" max="4" width="12.7109375" bestFit="1" customWidth="1"/>
    <col min="5" max="5" width="12.5703125" bestFit="1" customWidth="1"/>
    <col min="6" max="7" width="12.7109375" bestFit="1" customWidth="1"/>
    <col min="8" max="8" width="6.28515625" customWidth="1"/>
    <col min="9" max="9" width="25.7109375" bestFit="1" customWidth="1"/>
    <col min="10" max="10" width="19.5703125" bestFit="1" customWidth="1"/>
    <col min="11" max="11" width="20.140625" bestFit="1" customWidth="1"/>
    <col min="12" max="12" width="19.140625" bestFit="1" customWidth="1"/>
    <col min="13" max="13" width="18.5703125" bestFit="1" customWidth="1"/>
    <col min="14" max="14" width="19.7109375" bestFit="1" customWidth="1"/>
    <col min="15" max="15" width="19.5703125" bestFit="1" customWidth="1"/>
    <col min="16" max="16" width="19.28515625" bestFit="1" customWidth="1"/>
    <col min="17" max="17" width="19.7109375" bestFit="1" customWidth="1"/>
    <col min="18" max="18" width="19.5703125" bestFit="1" customWidth="1"/>
    <col min="19" max="19" width="18.7109375" bestFit="1" customWidth="1"/>
    <col min="20" max="20" width="19.28515625" bestFit="1" customWidth="1"/>
    <col min="21" max="21" width="22" bestFit="1" customWidth="1"/>
    <col min="22" max="22" width="21.7109375" bestFit="1" customWidth="1"/>
    <col min="23" max="23" width="22" bestFit="1" customWidth="1"/>
    <col min="24" max="24" width="11.28515625" bestFit="1" customWidth="1"/>
    <col min="27" max="27" width="8.140625" bestFit="1" customWidth="1"/>
    <col min="29" max="29" width="13.28515625" bestFit="1" customWidth="1"/>
  </cols>
  <sheetData>
    <row r="1" spans="2:29" x14ac:dyDescent="0.25">
      <c r="B1" s="1"/>
      <c r="C1" s="103" t="s">
        <v>1273</v>
      </c>
      <c r="D1" s="103" t="s">
        <v>1274</v>
      </c>
      <c r="E1" s="103" t="s">
        <v>1275</v>
      </c>
      <c r="F1" s="103" t="s">
        <v>1276</v>
      </c>
      <c r="G1" s="103" t="s">
        <v>1277</v>
      </c>
      <c r="I1" s="1" t="s">
        <v>1058</v>
      </c>
      <c r="J1" s="1" t="s">
        <v>1278</v>
      </c>
      <c r="K1" s="1" t="s">
        <v>1279</v>
      </c>
      <c r="L1" s="1" t="s">
        <v>1280</v>
      </c>
      <c r="M1" s="1" t="s">
        <v>1281</v>
      </c>
      <c r="N1" s="1" t="s">
        <v>1282</v>
      </c>
      <c r="O1" s="1" t="s">
        <v>1283</v>
      </c>
      <c r="P1" s="1" t="s">
        <v>1284</v>
      </c>
      <c r="Q1" s="1" t="s">
        <v>1285</v>
      </c>
      <c r="R1" s="1" t="s">
        <v>1286</v>
      </c>
      <c r="S1" s="1" t="s">
        <v>1287</v>
      </c>
      <c r="T1" s="1" t="s">
        <v>1288</v>
      </c>
      <c r="U1" s="1" t="s">
        <v>1289</v>
      </c>
      <c r="V1" s="1" t="s">
        <v>1290</v>
      </c>
      <c r="W1" s="1" t="s">
        <v>1291</v>
      </c>
    </row>
    <row r="2" spans="2:29" x14ac:dyDescent="0.25">
      <c r="B2" s="1" t="s">
        <v>1052</v>
      </c>
      <c r="C2" s="1">
        <v>40000</v>
      </c>
      <c r="D2" s="1">
        <v>41000</v>
      </c>
      <c r="E2" s="1">
        <v>41500</v>
      </c>
      <c r="F2" s="1">
        <v>42500</v>
      </c>
      <c r="G2" s="1">
        <v>61000</v>
      </c>
      <c r="I2" s="1" t="s">
        <v>1052</v>
      </c>
      <c r="J2" s="1">
        <v>40000</v>
      </c>
      <c r="K2" s="1">
        <v>41000</v>
      </c>
      <c r="L2" s="1">
        <v>41000</v>
      </c>
      <c r="M2" s="1">
        <v>41000</v>
      </c>
      <c r="N2" s="1">
        <v>41000</v>
      </c>
      <c r="O2" s="1">
        <v>41000</v>
      </c>
      <c r="P2" s="1">
        <v>41000</v>
      </c>
      <c r="Q2" s="1">
        <v>41000</v>
      </c>
      <c r="R2" s="1">
        <v>41000</v>
      </c>
      <c r="S2" s="1">
        <v>41000</v>
      </c>
      <c r="T2" s="1">
        <v>41000</v>
      </c>
      <c r="U2" s="15">
        <v>41000</v>
      </c>
      <c r="V2" s="15">
        <v>41500</v>
      </c>
      <c r="W2" s="15">
        <v>42500</v>
      </c>
      <c r="X2" s="117">
        <v>68698</v>
      </c>
    </row>
    <row r="3" spans="2:29" x14ac:dyDescent="0.25">
      <c r="B3" s="1" t="s">
        <v>197</v>
      </c>
      <c r="C3" s="1">
        <v>16000</v>
      </c>
      <c r="D3" s="1">
        <v>16400</v>
      </c>
      <c r="E3" s="1">
        <v>16600</v>
      </c>
      <c r="F3" s="1">
        <v>17000</v>
      </c>
      <c r="G3" s="1">
        <v>30500</v>
      </c>
      <c r="I3" s="1" t="s">
        <v>197</v>
      </c>
      <c r="J3" s="1">
        <v>16000</v>
      </c>
      <c r="K3" s="1">
        <v>16400</v>
      </c>
      <c r="L3" s="1">
        <v>16400</v>
      </c>
      <c r="M3" s="1">
        <v>16400</v>
      </c>
      <c r="N3" s="1">
        <v>16400</v>
      </c>
      <c r="O3" s="1">
        <v>16400</v>
      </c>
      <c r="P3" s="1">
        <v>16400</v>
      </c>
      <c r="Q3" s="1">
        <v>16400</v>
      </c>
      <c r="R3" s="1">
        <v>16400</v>
      </c>
      <c r="S3" s="1">
        <v>16400</v>
      </c>
      <c r="T3" s="1">
        <v>16400</v>
      </c>
      <c r="U3" s="15">
        <v>16400</v>
      </c>
      <c r="V3" s="15">
        <v>16600</v>
      </c>
      <c r="W3" s="15">
        <v>17000</v>
      </c>
      <c r="X3" s="117">
        <v>30914</v>
      </c>
    </row>
    <row r="4" spans="2:29" x14ac:dyDescent="0.25">
      <c r="B4" s="1" t="s">
        <v>1055</v>
      </c>
      <c r="C4" s="1">
        <v>8000</v>
      </c>
      <c r="D4" s="1">
        <v>6150</v>
      </c>
      <c r="E4" s="1">
        <v>6225</v>
      </c>
      <c r="F4" s="1">
        <v>0</v>
      </c>
      <c r="G4" s="1">
        <v>0</v>
      </c>
      <c r="I4" s="1" t="s">
        <v>1055</v>
      </c>
      <c r="J4" s="1">
        <v>8000</v>
      </c>
      <c r="K4" s="1">
        <v>6150</v>
      </c>
      <c r="L4" s="1">
        <v>6150</v>
      </c>
      <c r="M4" s="1">
        <v>6150</v>
      </c>
      <c r="N4" s="1">
        <v>6150</v>
      </c>
      <c r="O4" s="1">
        <v>6150</v>
      </c>
      <c r="P4" s="1">
        <v>6150</v>
      </c>
      <c r="Q4" s="1">
        <v>6150</v>
      </c>
      <c r="R4" s="1">
        <v>6150</v>
      </c>
      <c r="S4" s="1">
        <v>6150</v>
      </c>
      <c r="T4" s="1">
        <v>6150</v>
      </c>
      <c r="U4" s="15">
        <v>6150</v>
      </c>
      <c r="V4" s="15">
        <v>6225</v>
      </c>
      <c r="W4" s="15"/>
      <c r="X4" s="117">
        <v>9961</v>
      </c>
    </row>
    <row r="5" spans="2:29" x14ac:dyDescent="0.25">
      <c r="B5" s="1" t="s">
        <v>1292</v>
      </c>
      <c r="C5" s="1">
        <v>3400</v>
      </c>
      <c r="D5" s="1">
        <v>3485</v>
      </c>
      <c r="E5" s="1">
        <v>3528</v>
      </c>
      <c r="F5" s="1">
        <v>3528</v>
      </c>
      <c r="G5" s="1">
        <v>12200</v>
      </c>
      <c r="I5" s="1" t="s">
        <v>1292</v>
      </c>
      <c r="J5" s="1">
        <v>3400</v>
      </c>
      <c r="K5" s="1">
        <v>3485</v>
      </c>
      <c r="L5" s="1">
        <v>3485</v>
      </c>
      <c r="M5" s="1">
        <v>3485</v>
      </c>
      <c r="N5" s="1">
        <v>3485</v>
      </c>
      <c r="O5" s="1">
        <v>3485</v>
      </c>
      <c r="P5" s="1">
        <v>3485</v>
      </c>
      <c r="Q5" s="1">
        <v>3485</v>
      </c>
      <c r="R5" s="1">
        <v>3485</v>
      </c>
      <c r="S5" s="1">
        <v>3485</v>
      </c>
      <c r="T5" s="1">
        <v>3485</v>
      </c>
      <c r="U5" s="15">
        <v>3485</v>
      </c>
      <c r="V5" s="15">
        <v>3528</v>
      </c>
      <c r="W5" s="15">
        <v>3528</v>
      </c>
    </row>
    <row r="6" spans="2:29" x14ac:dyDescent="0.25">
      <c r="B6" s="1" t="s">
        <v>1293</v>
      </c>
      <c r="C6" s="1">
        <v>25000</v>
      </c>
      <c r="D6" s="1">
        <v>28000</v>
      </c>
      <c r="E6" s="1">
        <v>28000</v>
      </c>
      <c r="F6" s="1">
        <v>39000</v>
      </c>
      <c r="G6" s="1">
        <v>18300</v>
      </c>
      <c r="I6" s="1" t="s">
        <v>1293</v>
      </c>
      <c r="J6" s="1">
        <v>25000</v>
      </c>
      <c r="K6" s="1">
        <v>28000</v>
      </c>
      <c r="L6" s="1">
        <v>28000</v>
      </c>
      <c r="M6" s="1">
        <v>28000</v>
      </c>
      <c r="N6" s="1">
        <v>28000</v>
      </c>
      <c r="O6" s="1">
        <v>28000</v>
      </c>
      <c r="P6" s="1">
        <v>28000</v>
      </c>
      <c r="Q6" s="1">
        <v>28000</v>
      </c>
      <c r="R6" s="1">
        <v>28000</v>
      </c>
      <c r="S6" s="1">
        <v>28000</v>
      </c>
      <c r="T6" s="1">
        <v>28000</v>
      </c>
      <c r="U6" s="15">
        <v>28000</v>
      </c>
      <c r="V6" s="15">
        <v>28000</v>
      </c>
      <c r="W6" s="15">
        <v>39000</v>
      </c>
    </row>
    <row r="7" spans="2:29" x14ac:dyDescent="0.25">
      <c r="B7" s="1" t="s">
        <v>1294</v>
      </c>
      <c r="C7" s="1">
        <v>0</v>
      </c>
      <c r="D7" s="1">
        <v>2000</v>
      </c>
      <c r="E7" s="1">
        <v>2000</v>
      </c>
      <c r="F7" s="1">
        <v>2000</v>
      </c>
      <c r="G7" s="1">
        <v>1000</v>
      </c>
      <c r="I7" s="1" t="s">
        <v>1294</v>
      </c>
      <c r="J7" s="1">
        <v>0</v>
      </c>
      <c r="K7" s="1">
        <v>2000</v>
      </c>
      <c r="L7" s="1">
        <v>2000</v>
      </c>
      <c r="M7" s="1">
        <v>2000</v>
      </c>
      <c r="N7" s="1">
        <v>2000</v>
      </c>
      <c r="O7" s="1">
        <v>2000</v>
      </c>
      <c r="P7" s="1">
        <v>2000</v>
      </c>
      <c r="Q7" s="1">
        <v>2000</v>
      </c>
      <c r="R7" s="1">
        <v>2000</v>
      </c>
      <c r="S7" s="1">
        <v>2000</v>
      </c>
      <c r="T7" s="1">
        <v>2000</v>
      </c>
      <c r="U7" s="15">
        <v>2000</v>
      </c>
      <c r="V7" s="15">
        <v>2000</v>
      </c>
      <c r="W7" s="15">
        <v>2000</v>
      </c>
    </row>
    <row r="8" spans="2:29" x14ac:dyDescent="0.25">
      <c r="B8" s="1" t="s">
        <v>1295</v>
      </c>
      <c r="C8" s="1">
        <v>12000</v>
      </c>
      <c r="D8" s="1">
        <v>17000</v>
      </c>
      <c r="E8" s="1">
        <v>17000</v>
      </c>
      <c r="F8" s="1">
        <v>0</v>
      </c>
      <c r="G8" s="1">
        <v>0</v>
      </c>
      <c r="I8" s="1" t="s">
        <v>1295</v>
      </c>
      <c r="J8" s="1">
        <v>12000</v>
      </c>
      <c r="K8" s="1">
        <v>17000</v>
      </c>
      <c r="L8" s="1">
        <v>17000</v>
      </c>
      <c r="M8" s="1">
        <v>17000</v>
      </c>
      <c r="N8" s="1">
        <v>17000</v>
      </c>
      <c r="O8" s="1">
        <v>17000</v>
      </c>
      <c r="P8" s="1">
        <v>17000</v>
      </c>
      <c r="Q8" s="1">
        <v>17000</v>
      </c>
      <c r="R8" s="1">
        <v>17000</v>
      </c>
      <c r="S8" s="1">
        <v>17000</v>
      </c>
      <c r="T8" s="1">
        <v>17000</v>
      </c>
      <c r="U8" s="15">
        <v>17000</v>
      </c>
      <c r="V8" s="15">
        <v>17000</v>
      </c>
      <c r="W8" s="15"/>
    </row>
    <row r="9" spans="2:29" x14ac:dyDescent="0.25">
      <c r="B9" s="1" t="s">
        <v>195</v>
      </c>
      <c r="C9" s="1">
        <v>3332</v>
      </c>
      <c r="D9" s="1">
        <v>3415</v>
      </c>
      <c r="E9" s="1">
        <v>3457</v>
      </c>
      <c r="F9" s="1">
        <v>3540</v>
      </c>
      <c r="G9" s="1">
        <v>2000</v>
      </c>
      <c r="I9" s="1" t="s">
        <v>195</v>
      </c>
      <c r="J9" s="1">
        <v>3332</v>
      </c>
      <c r="K9" s="1">
        <v>3415</v>
      </c>
      <c r="L9" s="1">
        <v>3415</v>
      </c>
      <c r="M9" s="1">
        <v>3415</v>
      </c>
      <c r="N9" s="1">
        <v>3415</v>
      </c>
      <c r="O9" s="1">
        <v>3415</v>
      </c>
      <c r="P9" s="1">
        <v>3415</v>
      </c>
      <c r="Q9" s="1">
        <v>3415</v>
      </c>
      <c r="R9" s="1">
        <v>3415</v>
      </c>
      <c r="S9" s="1">
        <v>3415</v>
      </c>
      <c r="T9" s="1">
        <v>3415</v>
      </c>
      <c r="U9" s="15">
        <v>3415</v>
      </c>
      <c r="V9" s="15">
        <v>3457</v>
      </c>
      <c r="W9" s="15">
        <v>3540</v>
      </c>
    </row>
    <row r="10" spans="2:29" x14ac:dyDescent="0.25">
      <c r="B10" s="1" t="s">
        <v>1296</v>
      </c>
      <c r="C10" s="1">
        <v>3500</v>
      </c>
      <c r="D10" s="1">
        <v>6500</v>
      </c>
      <c r="E10" s="1">
        <v>6500</v>
      </c>
      <c r="F10" s="1">
        <v>12000</v>
      </c>
      <c r="G10" s="1">
        <v>12200</v>
      </c>
      <c r="I10" s="1" t="s">
        <v>1296</v>
      </c>
      <c r="J10" s="1">
        <v>3500</v>
      </c>
      <c r="K10" s="1">
        <v>6500</v>
      </c>
      <c r="L10" s="1">
        <v>6500</v>
      </c>
      <c r="M10" s="1">
        <v>6500</v>
      </c>
      <c r="N10" s="1">
        <v>6500</v>
      </c>
      <c r="O10" s="1">
        <v>6500</v>
      </c>
      <c r="P10" s="1">
        <v>6500</v>
      </c>
      <c r="Q10" s="1">
        <v>6500</v>
      </c>
      <c r="R10" s="1">
        <v>6500</v>
      </c>
      <c r="S10" s="1">
        <v>6500</v>
      </c>
      <c r="T10" s="1">
        <v>6500</v>
      </c>
      <c r="U10" s="15">
        <v>6500</v>
      </c>
      <c r="V10" s="15">
        <v>6500</v>
      </c>
      <c r="W10" s="15">
        <v>12000</v>
      </c>
    </row>
    <row r="11" spans="2:29" x14ac:dyDescent="0.25">
      <c r="B11" s="1" t="s">
        <v>1297</v>
      </c>
      <c r="C11" s="1">
        <v>34935</v>
      </c>
      <c r="D11" s="1">
        <v>37463</v>
      </c>
      <c r="E11" s="1">
        <v>46198</v>
      </c>
      <c r="F11" s="1">
        <v>42173</v>
      </c>
      <c r="G11" s="1">
        <v>39842</v>
      </c>
      <c r="I11" s="1" t="s">
        <v>1298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5"/>
      <c r="V11" s="15"/>
      <c r="W11" s="15">
        <v>3000</v>
      </c>
    </row>
    <row r="12" spans="2:29" x14ac:dyDescent="0.25">
      <c r="B12" s="1" t="s">
        <v>1298</v>
      </c>
      <c r="C12" s="1"/>
      <c r="D12" s="1"/>
      <c r="E12" s="1"/>
      <c r="F12" s="1">
        <v>3000</v>
      </c>
      <c r="G12" s="1">
        <v>3000</v>
      </c>
      <c r="I12" s="1" t="s">
        <v>1299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5"/>
      <c r="V12" s="15"/>
      <c r="W12" s="15">
        <v>15000</v>
      </c>
    </row>
    <row r="13" spans="2:29" x14ac:dyDescent="0.25">
      <c r="B13" s="1" t="s">
        <v>1299</v>
      </c>
      <c r="C13" s="1"/>
      <c r="D13" s="1"/>
      <c r="E13" s="1"/>
      <c r="F13" s="1">
        <v>15000</v>
      </c>
      <c r="G13" s="1">
        <v>15250</v>
      </c>
      <c r="I13" s="1" t="s">
        <v>1297</v>
      </c>
      <c r="J13" s="1">
        <v>34935</v>
      </c>
      <c r="K13" s="1">
        <v>37463</v>
      </c>
      <c r="L13" s="1">
        <v>37463</v>
      </c>
      <c r="M13" s="1">
        <v>37463</v>
      </c>
      <c r="N13" s="1">
        <v>37463</v>
      </c>
      <c r="O13" s="1">
        <v>37463</v>
      </c>
      <c r="P13" s="1">
        <v>37463</v>
      </c>
      <c r="Q13" s="1">
        <v>37463</v>
      </c>
      <c r="R13" s="1">
        <v>37463</v>
      </c>
      <c r="S13" s="1">
        <v>37463</v>
      </c>
      <c r="T13" s="1">
        <v>37463</v>
      </c>
      <c r="U13" s="15">
        <v>37463</v>
      </c>
      <c r="V13" s="15">
        <v>46198</v>
      </c>
      <c r="W13" s="15">
        <v>42173</v>
      </c>
      <c r="X13" s="117">
        <v>34349</v>
      </c>
      <c r="AC13">
        <v>145172</v>
      </c>
    </row>
    <row r="14" spans="2:29" x14ac:dyDescent="0.25">
      <c r="B14" s="18" t="s">
        <v>1300</v>
      </c>
      <c r="C14" s="1">
        <f>SUM(C2:C13)</f>
        <v>146167</v>
      </c>
      <c r="D14" s="1">
        <f>SUM(D2:D13)</f>
        <v>161413</v>
      </c>
      <c r="E14" s="1">
        <f>SUM(E2:E13)</f>
        <v>171008</v>
      </c>
      <c r="F14" s="1">
        <f>SUM(F2:F13)</f>
        <v>179741</v>
      </c>
      <c r="G14" s="1">
        <f>SUM(G2:G13)</f>
        <v>195292</v>
      </c>
      <c r="I14" s="16" t="s">
        <v>1047</v>
      </c>
      <c r="J14" s="16">
        <f t="shared" ref="J14:W14" si="0">SUM(J2:J13)</f>
        <v>146167</v>
      </c>
      <c r="K14" s="16">
        <f t="shared" si="0"/>
        <v>161413</v>
      </c>
      <c r="L14" s="16">
        <f t="shared" si="0"/>
        <v>161413</v>
      </c>
      <c r="M14" s="16">
        <f t="shared" si="0"/>
        <v>161413</v>
      </c>
      <c r="N14" s="16">
        <f t="shared" si="0"/>
        <v>161413</v>
      </c>
      <c r="O14" s="16">
        <f t="shared" si="0"/>
        <v>161413</v>
      </c>
      <c r="P14" s="16">
        <f t="shared" si="0"/>
        <v>161413</v>
      </c>
      <c r="Q14" s="16">
        <f t="shared" si="0"/>
        <v>161413</v>
      </c>
      <c r="R14" s="16">
        <f t="shared" si="0"/>
        <v>161413</v>
      </c>
      <c r="S14" s="16">
        <f t="shared" si="0"/>
        <v>161413</v>
      </c>
      <c r="T14" s="16">
        <f t="shared" si="0"/>
        <v>161413</v>
      </c>
      <c r="U14" s="112">
        <f t="shared" si="0"/>
        <v>161413</v>
      </c>
      <c r="V14" s="112">
        <f t="shared" si="0"/>
        <v>171008</v>
      </c>
      <c r="W14" s="112">
        <f t="shared" si="0"/>
        <v>179741</v>
      </c>
      <c r="AA14">
        <v>21600</v>
      </c>
      <c r="AC14">
        <f>-0.12*68698</f>
        <v>-8243.76</v>
      </c>
    </row>
    <row r="15" spans="2:29" x14ac:dyDescent="0.25">
      <c r="B15" s="1" t="s">
        <v>1301</v>
      </c>
      <c r="C15" s="1"/>
      <c r="D15" s="1"/>
      <c r="E15" s="1"/>
      <c r="F15" s="1"/>
      <c r="G15" s="1"/>
      <c r="I15" s="1" t="s">
        <v>1051</v>
      </c>
      <c r="J15" s="1">
        <v>-4800</v>
      </c>
      <c r="K15" s="1">
        <v>-4920</v>
      </c>
      <c r="L15" s="1">
        <v>-4920</v>
      </c>
      <c r="M15" s="1">
        <v>-4920</v>
      </c>
      <c r="N15" s="1">
        <v>-4920</v>
      </c>
      <c r="O15" s="1">
        <v>-4920</v>
      </c>
      <c r="P15" s="1">
        <v>-4920</v>
      </c>
      <c r="Q15" s="1">
        <v>-4920</v>
      </c>
      <c r="R15" s="1">
        <v>-4920</v>
      </c>
      <c r="S15" s="1">
        <v>-4920</v>
      </c>
      <c r="T15" s="1">
        <v>-4920</v>
      </c>
      <c r="U15" s="15">
        <v>-4920</v>
      </c>
      <c r="V15" s="15">
        <v>-4980</v>
      </c>
      <c r="W15" s="15">
        <f>-W2*12/100</f>
        <v>-5100</v>
      </c>
      <c r="AA15">
        <f>AA14/12</f>
        <v>1800</v>
      </c>
      <c r="AC15">
        <v>-200</v>
      </c>
    </row>
    <row r="16" spans="2:29" x14ac:dyDescent="0.25">
      <c r="B16" s="1" t="s">
        <v>1302</v>
      </c>
      <c r="C16" s="1">
        <v>4800</v>
      </c>
      <c r="D16" s="1">
        <v>4920</v>
      </c>
      <c r="E16" s="1">
        <v>4980</v>
      </c>
      <c r="F16" s="1">
        <v>5100</v>
      </c>
      <c r="G16" s="1">
        <v>7320</v>
      </c>
      <c r="I16" s="1" t="s">
        <v>203</v>
      </c>
      <c r="J16" s="1">
        <v>-200</v>
      </c>
      <c r="K16" s="1">
        <v>-200</v>
      </c>
      <c r="L16" s="1">
        <v>-200</v>
      </c>
      <c r="M16" s="1">
        <v>-200</v>
      </c>
      <c r="N16" s="1">
        <v>-200</v>
      </c>
      <c r="O16" s="1">
        <v>-200</v>
      </c>
      <c r="P16" s="1">
        <v>-200</v>
      </c>
      <c r="Q16" s="1">
        <v>-200</v>
      </c>
      <c r="R16" s="1">
        <v>-200</v>
      </c>
      <c r="S16" s="1">
        <v>-200</v>
      </c>
      <c r="T16" s="1">
        <v>-200</v>
      </c>
      <c r="U16" s="15">
        <v>-200</v>
      </c>
      <c r="V16" s="15">
        <v>-200</v>
      </c>
      <c r="W16" s="15">
        <v>-200</v>
      </c>
      <c r="AC16">
        <v>-19000</v>
      </c>
    </row>
    <row r="17" spans="2:29" x14ac:dyDescent="0.25">
      <c r="B17" s="1" t="s">
        <v>798</v>
      </c>
      <c r="C17" s="1">
        <v>1200</v>
      </c>
      <c r="D17" s="1">
        <v>1200</v>
      </c>
      <c r="E17" s="1">
        <v>0</v>
      </c>
      <c r="F17" s="1"/>
      <c r="G17" s="1"/>
      <c r="I17" s="1" t="s">
        <v>1089</v>
      </c>
      <c r="J17" s="1">
        <v>-17672</v>
      </c>
      <c r="K17" s="1">
        <v>-17672</v>
      </c>
      <c r="L17" s="1">
        <v>-21896</v>
      </c>
      <c r="M17" s="1">
        <v>-21896</v>
      </c>
      <c r="N17" s="1">
        <v>-21896</v>
      </c>
      <c r="O17" s="1">
        <v>-21896</v>
      </c>
      <c r="P17" s="1">
        <v>-21896</v>
      </c>
      <c r="Q17" s="1">
        <v>-21896</v>
      </c>
      <c r="R17" s="1">
        <v>-21896</v>
      </c>
      <c r="S17" s="1">
        <v>-21896</v>
      </c>
      <c r="T17" s="1">
        <v>-22630</v>
      </c>
      <c r="U17" s="15">
        <v>-22629</v>
      </c>
      <c r="V17" s="15">
        <v>-21314</v>
      </c>
      <c r="W17" s="15">
        <v>-21314</v>
      </c>
    </row>
    <row r="18" spans="2:29" x14ac:dyDescent="0.25">
      <c r="B18" s="1" t="s">
        <v>1303</v>
      </c>
      <c r="C18" s="1">
        <v>2000</v>
      </c>
      <c r="D18" s="1">
        <v>2050</v>
      </c>
      <c r="E18" s="1">
        <v>2075</v>
      </c>
      <c r="F18" s="1">
        <v>2125</v>
      </c>
      <c r="G18" s="1">
        <v>3050</v>
      </c>
      <c r="I18" s="1" t="s">
        <v>798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5"/>
      <c r="V18" s="15">
        <v>-1200</v>
      </c>
      <c r="W18" s="15"/>
    </row>
    <row r="19" spans="2:29" x14ac:dyDescent="0.25">
      <c r="B19" s="18" t="s">
        <v>1304</v>
      </c>
      <c r="C19" s="1">
        <f>SUM(C15:C18)</f>
        <v>8000</v>
      </c>
      <c r="D19" s="1">
        <f>SUM(D15:D18)</f>
        <v>8170</v>
      </c>
      <c r="E19" s="1">
        <f>SUM(E15:E18)</f>
        <v>7055</v>
      </c>
      <c r="F19" s="1">
        <f>SUM(F15:F18)</f>
        <v>7225</v>
      </c>
      <c r="G19" s="1">
        <f>SUM(G15:G18)</f>
        <v>10370</v>
      </c>
      <c r="I19" s="1" t="s">
        <v>1298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5"/>
      <c r="V19" s="15"/>
      <c r="W19" s="15">
        <v>-3000</v>
      </c>
    </row>
    <row r="20" spans="2:29" x14ac:dyDescent="0.25">
      <c r="B20" s="1" t="s">
        <v>1305</v>
      </c>
      <c r="C20" s="1">
        <v>200</v>
      </c>
      <c r="D20" s="1">
        <v>200</v>
      </c>
      <c r="E20" s="1">
        <v>200</v>
      </c>
      <c r="F20" s="1">
        <v>200</v>
      </c>
      <c r="G20" s="1">
        <v>200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5"/>
      <c r="V20" s="15"/>
      <c r="W20" s="15"/>
    </row>
    <row r="21" spans="2:29" x14ac:dyDescent="0.25">
      <c r="B21" s="1" t="s">
        <v>1306</v>
      </c>
      <c r="C21" s="1"/>
      <c r="D21" s="1"/>
      <c r="E21" s="1"/>
      <c r="F21" s="1"/>
      <c r="G21" s="1"/>
      <c r="I21" s="16" t="s">
        <v>299</v>
      </c>
      <c r="J21" s="16">
        <f t="shared" ref="J21:T21" si="1">SUM(J14:J17)</f>
        <v>123495</v>
      </c>
      <c r="K21" s="16">
        <f t="shared" si="1"/>
        <v>138621</v>
      </c>
      <c r="L21" s="16">
        <f t="shared" si="1"/>
        <v>134397</v>
      </c>
      <c r="M21" s="16">
        <f t="shared" si="1"/>
        <v>134397</v>
      </c>
      <c r="N21" s="16">
        <f t="shared" si="1"/>
        <v>134397</v>
      </c>
      <c r="O21" s="16">
        <f t="shared" si="1"/>
        <v>134397</v>
      </c>
      <c r="P21" s="16">
        <f t="shared" si="1"/>
        <v>134397</v>
      </c>
      <c r="Q21" s="16">
        <f t="shared" si="1"/>
        <v>134397</v>
      </c>
      <c r="R21" s="16">
        <f t="shared" si="1"/>
        <v>134397</v>
      </c>
      <c r="S21" s="16">
        <f t="shared" si="1"/>
        <v>134397</v>
      </c>
      <c r="T21" s="16">
        <f t="shared" si="1"/>
        <v>133663</v>
      </c>
      <c r="U21" s="112">
        <f>SUM(U14:U20)</f>
        <v>133664</v>
      </c>
      <c r="V21" s="112">
        <f>SUM(V14:V20)</f>
        <v>143314</v>
      </c>
      <c r="W21" s="112">
        <f>SUM(W14:W20)</f>
        <v>150127</v>
      </c>
      <c r="AC21">
        <f>SUM(AC13:AC20)</f>
        <v>117728.23999999999</v>
      </c>
    </row>
    <row r="22" spans="2:29" x14ac:dyDescent="0.25">
      <c r="B22" s="18" t="s">
        <v>1307</v>
      </c>
      <c r="C22" s="1">
        <f>C14+C19</f>
        <v>154167</v>
      </c>
      <c r="D22" s="1">
        <f>D14+D19</f>
        <v>169583</v>
      </c>
      <c r="E22" s="1">
        <f>E14+E19</f>
        <v>178063</v>
      </c>
      <c r="F22" s="1">
        <f>F14+F19</f>
        <v>186966</v>
      </c>
      <c r="G22" s="1">
        <f>G14+G19</f>
        <v>205662</v>
      </c>
    </row>
    <row r="23" spans="2:29" x14ac:dyDescent="0.25">
      <c r="B23" s="1" t="s">
        <v>1308</v>
      </c>
      <c r="C23" s="1">
        <f>C22*12</f>
        <v>1850004</v>
      </c>
      <c r="D23" s="1">
        <f>D22*12</f>
        <v>2034996</v>
      </c>
      <c r="E23" s="1">
        <f>E22*12</f>
        <v>2136756</v>
      </c>
      <c r="F23" s="1">
        <f>F22*12</f>
        <v>2243592</v>
      </c>
      <c r="G23" s="1">
        <f>G22*12</f>
        <v>2467944</v>
      </c>
    </row>
    <row r="25" spans="2:29" x14ac:dyDescent="0.25">
      <c r="G25">
        <v>2591343</v>
      </c>
    </row>
    <row r="26" spans="2:29" x14ac:dyDescent="0.25">
      <c r="F26" s="192">
        <f>G23*5/100</f>
        <v>123397.2</v>
      </c>
      <c r="G26">
        <f>G25-G23</f>
        <v>123399</v>
      </c>
    </row>
    <row r="27" spans="2:29" x14ac:dyDescent="0.25">
      <c r="F27">
        <f>F26/12</f>
        <v>10283.1</v>
      </c>
    </row>
    <row r="35" spans="2:2" x14ac:dyDescent="0.25">
      <c r="B35">
        <v>2467946</v>
      </c>
    </row>
    <row r="36" spans="2:2" x14ac:dyDescent="0.25">
      <c r="B36">
        <v>205662</v>
      </c>
    </row>
    <row r="37" spans="2:2" x14ac:dyDescent="0.25">
      <c r="B37">
        <v>-20890</v>
      </c>
    </row>
    <row r="38" spans="2:2" x14ac:dyDescent="0.25">
      <c r="B38">
        <v>-35000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5"/>
  <dimension ref="A1:R47"/>
  <sheetViews>
    <sheetView zoomScaleNormal="100" workbookViewId="0">
      <selection activeCell="D14" sqref="D14"/>
    </sheetView>
  </sheetViews>
  <sheetFormatPr defaultColWidth="9.140625" defaultRowHeight="11.25" x14ac:dyDescent="0.2"/>
  <cols>
    <col min="1" max="1" width="11.28515625" style="31" bestFit="1" customWidth="1"/>
    <col min="2" max="2" width="7.5703125" style="31" bestFit="1" customWidth="1"/>
    <col min="3" max="3" width="8.28515625" style="31" bestFit="1" customWidth="1"/>
    <col min="4" max="4" width="7.28515625" style="31" bestFit="1" customWidth="1"/>
    <col min="5" max="5" width="8.28515625" style="31" bestFit="1" customWidth="1"/>
    <col min="6" max="11" width="9.140625" style="31"/>
    <col min="12" max="12" width="20.7109375" style="31" bestFit="1" customWidth="1"/>
    <col min="13" max="13" width="9.140625" style="31"/>
    <col min="14" max="14" width="19.28515625" style="31" bestFit="1" customWidth="1"/>
    <col min="15" max="15" width="9.140625" style="31"/>
    <col min="16" max="16" width="21.140625" style="31" bestFit="1" customWidth="1"/>
    <col min="17" max="16384" width="9.140625" style="31"/>
  </cols>
  <sheetData>
    <row r="1" spans="1:18" x14ac:dyDescent="0.2">
      <c r="A1" s="34" t="s">
        <v>622</v>
      </c>
      <c r="B1" s="34" t="s">
        <v>1309</v>
      </c>
      <c r="C1" s="34" t="s">
        <v>18</v>
      </c>
      <c r="D1" s="34" t="s">
        <v>918</v>
      </c>
      <c r="E1" s="34" t="s">
        <v>844</v>
      </c>
    </row>
    <row r="2" spans="1:18" x14ac:dyDescent="0.2">
      <c r="A2" s="30" t="s">
        <v>1310</v>
      </c>
      <c r="B2" s="30"/>
      <c r="C2" s="32">
        <v>45000</v>
      </c>
      <c r="D2" s="32">
        <v>45000</v>
      </c>
      <c r="E2" s="32">
        <f>C2-D2</f>
        <v>0</v>
      </c>
    </row>
    <row r="3" spans="1:18" x14ac:dyDescent="0.2">
      <c r="A3" s="30" t="s">
        <v>1311</v>
      </c>
      <c r="B3" s="30" t="s">
        <v>1312</v>
      </c>
      <c r="C3" s="32">
        <f>430*185</f>
        <v>79550</v>
      </c>
      <c r="D3" s="32">
        <v>79550</v>
      </c>
      <c r="E3" s="32">
        <f t="shared" ref="E3:E13" si="0">C3-D3</f>
        <v>0</v>
      </c>
    </row>
    <row r="4" spans="1:18" x14ac:dyDescent="0.2">
      <c r="A4" s="30" t="s">
        <v>1313</v>
      </c>
      <c r="B4" s="30"/>
      <c r="C4" s="32">
        <v>15000</v>
      </c>
      <c r="D4" s="32">
        <v>15000</v>
      </c>
      <c r="E4" s="32">
        <f t="shared" si="0"/>
        <v>0</v>
      </c>
      <c r="O4" s="31">
        <v>3606</v>
      </c>
    </row>
    <row r="5" spans="1:18" x14ac:dyDescent="0.2">
      <c r="A5" s="30" t="s">
        <v>1314</v>
      </c>
      <c r="B5" s="30"/>
      <c r="C5" s="32">
        <v>6000</v>
      </c>
      <c r="D5" s="32">
        <v>6000</v>
      </c>
      <c r="E5" s="32">
        <f t="shared" si="0"/>
        <v>0</v>
      </c>
      <c r="O5" s="31">
        <v>-2800</v>
      </c>
    </row>
    <row r="6" spans="1:18" x14ac:dyDescent="0.2">
      <c r="A6" s="30" t="s">
        <v>1315</v>
      </c>
      <c r="B6" s="30"/>
      <c r="C6" s="32">
        <v>34000</v>
      </c>
      <c r="D6" s="32">
        <v>34000</v>
      </c>
      <c r="E6" s="32">
        <f t="shared" si="0"/>
        <v>0</v>
      </c>
      <c r="J6" s="31">
        <v>20000</v>
      </c>
    </row>
    <row r="7" spans="1:18" x14ac:dyDescent="0.2">
      <c r="A7" s="30" t="s">
        <v>1316</v>
      </c>
      <c r="B7" s="30"/>
      <c r="C7" s="32"/>
      <c r="D7" s="32"/>
      <c r="E7" s="32">
        <f t="shared" si="0"/>
        <v>0</v>
      </c>
      <c r="J7" s="31">
        <v>6000</v>
      </c>
    </row>
    <row r="8" spans="1:18" x14ac:dyDescent="0.2">
      <c r="A8" s="30" t="s">
        <v>1317</v>
      </c>
      <c r="B8" s="30"/>
      <c r="C8" s="32"/>
      <c r="D8" s="32"/>
      <c r="E8" s="32">
        <f t="shared" si="0"/>
        <v>0</v>
      </c>
      <c r="J8" s="31">
        <v>7500</v>
      </c>
    </row>
    <row r="9" spans="1:18" x14ac:dyDescent="0.2">
      <c r="A9" s="30" t="s">
        <v>1318</v>
      </c>
      <c r="B9" s="30"/>
      <c r="C9" s="32"/>
      <c r="D9" s="32"/>
      <c r="E9" s="32">
        <f t="shared" si="0"/>
        <v>0</v>
      </c>
    </row>
    <row r="10" spans="1:18" x14ac:dyDescent="0.2">
      <c r="A10" s="30" t="s">
        <v>1319</v>
      </c>
      <c r="B10" s="30"/>
      <c r="C10" s="32">
        <v>3000</v>
      </c>
      <c r="D10" s="32">
        <v>3000</v>
      </c>
      <c r="E10" s="32">
        <f t="shared" si="0"/>
        <v>0</v>
      </c>
      <c r="L10" s="30" t="s">
        <v>1320</v>
      </c>
      <c r="M10" s="30">
        <v>58000</v>
      </c>
      <c r="N10" s="30"/>
    </row>
    <row r="11" spans="1:18" x14ac:dyDescent="0.2">
      <c r="A11" s="30" t="s">
        <v>1321</v>
      </c>
      <c r="B11" s="30"/>
      <c r="C11" s="32">
        <v>950</v>
      </c>
      <c r="D11" s="32">
        <v>950</v>
      </c>
      <c r="E11" s="32">
        <f t="shared" si="0"/>
        <v>0</v>
      </c>
      <c r="L11" s="30" t="s">
        <v>1322</v>
      </c>
      <c r="M11" s="30">
        <v>-23120</v>
      </c>
      <c r="N11" s="30"/>
      <c r="P11" s="30" t="s">
        <v>1323</v>
      </c>
      <c r="Q11" s="30">
        <v>30000</v>
      </c>
      <c r="R11" s="30"/>
    </row>
    <row r="12" spans="1:18" x14ac:dyDescent="0.2">
      <c r="A12" s="30" t="s">
        <v>1324</v>
      </c>
      <c r="B12" s="30"/>
      <c r="C12" s="32">
        <v>7200</v>
      </c>
      <c r="D12" s="32">
        <v>7200</v>
      </c>
      <c r="E12" s="32">
        <f t="shared" si="0"/>
        <v>0</v>
      </c>
      <c r="L12" s="30" t="s">
        <v>1325</v>
      </c>
      <c r="M12" s="30">
        <v>-6000</v>
      </c>
      <c r="N12" s="30"/>
      <c r="P12" s="30" t="s">
        <v>1326</v>
      </c>
      <c r="Q12" s="30">
        <v>-2000</v>
      </c>
      <c r="R12" s="30"/>
    </row>
    <row r="13" spans="1:18" x14ac:dyDescent="0.2">
      <c r="A13" s="30"/>
      <c r="B13" s="30"/>
      <c r="C13" s="32"/>
      <c r="D13" s="32"/>
      <c r="E13" s="32">
        <f t="shared" si="0"/>
        <v>0</v>
      </c>
      <c r="L13" s="30" t="s">
        <v>1327</v>
      </c>
      <c r="M13" s="30">
        <v>-6000</v>
      </c>
      <c r="N13" s="30" t="s">
        <v>1328</v>
      </c>
      <c r="P13" s="30" t="s">
        <v>1329</v>
      </c>
      <c r="Q13" s="30">
        <v>-6433</v>
      </c>
      <c r="R13" s="30"/>
    </row>
    <row r="14" spans="1:18" x14ac:dyDescent="0.2">
      <c r="L14" s="30" t="s">
        <v>1330</v>
      </c>
      <c r="M14" s="30">
        <v>-6000</v>
      </c>
      <c r="N14" s="30"/>
      <c r="P14" s="30" t="s">
        <v>1331</v>
      </c>
      <c r="Q14" s="30">
        <v>4229</v>
      </c>
      <c r="R14" s="30"/>
    </row>
    <row r="15" spans="1:18" x14ac:dyDescent="0.2">
      <c r="C15" s="714" t="s">
        <v>1332</v>
      </c>
      <c r="D15" s="715"/>
      <c r="E15" s="33">
        <f>SUM(D2:E14)</f>
        <v>190700</v>
      </c>
      <c r="L15" s="30" t="s">
        <v>363</v>
      </c>
      <c r="M15" s="30">
        <v>-2000</v>
      </c>
      <c r="N15" s="30"/>
      <c r="P15" s="30" t="s">
        <v>1333</v>
      </c>
      <c r="Q15" s="30">
        <v>622.44000000000005</v>
      </c>
      <c r="R15" s="716">
        <f>SUM(Q15:Q17)</f>
        <v>2121.37</v>
      </c>
    </row>
    <row r="16" spans="1:18" x14ac:dyDescent="0.2">
      <c r="L16" s="30" t="s">
        <v>1334</v>
      </c>
      <c r="M16" s="30">
        <v>-2000</v>
      </c>
      <c r="N16" s="30"/>
      <c r="P16" s="30" t="s">
        <v>1333</v>
      </c>
      <c r="Q16" s="30">
        <v>909.53</v>
      </c>
      <c r="R16" s="716"/>
    </row>
    <row r="17" spans="12:18" x14ac:dyDescent="0.2">
      <c r="L17" s="30" t="s">
        <v>1335</v>
      </c>
      <c r="M17" s="30">
        <v>-1000</v>
      </c>
      <c r="N17" s="30"/>
      <c r="P17" s="30" t="s">
        <v>1333</v>
      </c>
      <c r="Q17" s="30">
        <v>589.4</v>
      </c>
      <c r="R17" s="716"/>
    </row>
    <row r="18" spans="12:18" x14ac:dyDescent="0.2">
      <c r="L18" s="30" t="s">
        <v>122</v>
      </c>
      <c r="M18" s="30">
        <v>-2000</v>
      </c>
      <c r="N18" s="30"/>
      <c r="P18" s="30" t="s">
        <v>1336</v>
      </c>
      <c r="Q18" s="30">
        <v>-90</v>
      </c>
      <c r="R18" s="30"/>
    </row>
    <row r="19" spans="12:18" x14ac:dyDescent="0.2">
      <c r="L19" s="30" t="s">
        <v>1337</v>
      </c>
      <c r="M19" s="30">
        <v>-150</v>
      </c>
      <c r="N19" s="30"/>
      <c r="P19" s="30" t="s">
        <v>15</v>
      </c>
      <c r="Q19" s="30">
        <v>-10000</v>
      </c>
      <c r="R19" s="30"/>
    </row>
    <row r="20" spans="12:18" x14ac:dyDescent="0.2">
      <c r="L20" s="30" t="s">
        <v>1338</v>
      </c>
      <c r="M20" s="30">
        <v>-5200</v>
      </c>
      <c r="N20" s="30"/>
      <c r="P20" s="30"/>
      <c r="Q20" s="30"/>
      <c r="R20" s="30"/>
    </row>
    <row r="21" spans="12:18" x14ac:dyDescent="0.2">
      <c r="L21" s="30" t="s">
        <v>1339</v>
      </c>
      <c r="M21" s="30">
        <v>-130</v>
      </c>
      <c r="N21" s="30"/>
      <c r="P21" s="30"/>
      <c r="Q21" s="30"/>
      <c r="R21" s="30"/>
    </row>
    <row r="22" spans="12:18" x14ac:dyDescent="0.2">
      <c r="L22" s="30" t="s">
        <v>1340</v>
      </c>
      <c r="M22" s="30">
        <v>-500</v>
      </c>
      <c r="N22" s="30"/>
      <c r="P22" s="30"/>
      <c r="Q22" s="30"/>
      <c r="R22" s="30"/>
    </row>
    <row r="23" spans="12:18" x14ac:dyDescent="0.2">
      <c r="L23" s="30" t="s">
        <v>1341</v>
      </c>
      <c r="M23" s="30">
        <v>-1500</v>
      </c>
      <c r="N23" s="30"/>
      <c r="P23" s="30"/>
      <c r="Q23" s="30"/>
      <c r="R23" s="30"/>
    </row>
    <row r="24" spans="12:18" x14ac:dyDescent="0.2">
      <c r="L24" s="30" t="s">
        <v>1342</v>
      </c>
      <c r="M24" s="30">
        <v>-100</v>
      </c>
      <c r="N24" s="30"/>
      <c r="P24" s="30"/>
      <c r="Q24" s="30"/>
      <c r="R24" s="30"/>
    </row>
    <row r="25" spans="12:18" x14ac:dyDescent="0.2">
      <c r="L25" s="30"/>
      <c r="M25" s="30"/>
      <c r="N25" s="30"/>
      <c r="P25" s="30"/>
      <c r="Q25" s="30"/>
      <c r="R25" s="30"/>
    </row>
    <row r="26" spans="12:18" x14ac:dyDescent="0.2">
      <c r="L26" s="30"/>
      <c r="M26" s="30"/>
      <c r="N26" s="30"/>
      <c r="P26" s="30" t="s">
        <v>0</v>
      </c>
      <c r="Q26" s="30">
        <f>SUM(Q11:Q25)</f>
        <v>17827.37</v>
      </c>
      <c r="R26" s="30"/>
    </row>
    <row r="27" spans="12:18" x14ac:dyDescent="0.2">
      <c r="L27" s="30" t="s">
        <v>0</v>
      </c>
      <c r="M27" s="30">
        <f>SUM(M10:M26)</f>
        <v>2300</v>
      </c>
      <c r="N27" s="30"/>
    </row>
    <row r="31" spans="12:18" x14ac:dyDescent="0.2">
      <c r="L31" s="30" t="s">
        <v>1343</v>
      </c>
      <c r="M31" s="30">
        <v>8000</v>
      </c>
      <c r="N31" s="30"/>
    </row>
    <row r="32" spans="12:18" x14ac:dyDescent="0.2">
      <c r="L32" s="30" t="s">
        <v>1344</v>
      </c>
      <c r="M32" s="30">
        <v>-2000</v>
      </c>
      <c r="N32" s="30"/>
    </row>
    <row r="33" spans="12:14" x14ac:dyDescent="0.2">
      <c r="L33" s="30" t="s">
        <v>1345</v>
      </c>
      <c r="M33" s="30">
        <v>-600</v>
      </c>
      <c r="N33" s="30"/>
    </row>
    <row r="34" spans="12:14" x14ac:dyDescent="0.2">
      <c r="L34" s="30" t="s">
        <v>1318</v>
      </c>
      <c r="M34" s="30">
        <v>-250</v>
      </c>
      <c r="N34" s="30"/>
    </row>
    <row r="35" spans="12:14" x14ac:dyDescent="0.2">
      <c r="L35" s="30" t="s">
        <v>1346</v>
      </c>
      <c r="M35" s="30">
        <v>-2000</v>
      </c>
      <c r="N35" s="30"/>
    </row>
    <row r="36" spans="12:14" x14ac:dyDescent="0.2">
      <c r="L36" s="30" t="s">
        <v>1347</v>
      </c>
      <c r="M36" s="30">
        <v>-200</v>
      </c>
      <c r="N36" s="30"/>
    </row>
    <row r="37" spans="12:14" x14ac:dyDescent="0.2">
      <c r="L37" s="30"/>
      <c r="M37" s="30"/>
      <c r="N37" s="30"/>
    </row>
    <row r="38" spans="12:14" x14ac:dyDescent="0.2">
      <c r="L38" s="30"/>
      <c r="M38" s="30"/>
      <c r="N38" s="30"/>
    </row>
    <row r="39" spans="12:14" x14ac:dyDescent="0.2">
      <c r="L39" s="30"/>
      <c r="M39" s="30"/>
      <c r="N39" s="30"/>
    </row>
    <row r="40" spans="12:14" x14ac:dyDescent="0.2">
      <c r="L40" s="30"/>
      <c r="M40" s="30"/>
      <c r="N40" s="30"/>
    </row>
    <row r="41" spans="12:14" x14ac:dyDescent="0.2">
      <c r="L41" s="30"/>
      <c r="M41" s="30"/>
      <c r="N41" s="30"/>
    </row>
    <row r="42" spans="12:14" x14ac:dyDescent="0.2">
      <c r="L42" s="30"/>
      <c r="M42" s="30"/>
      <c r="N42" s="30"/>
    </row>
    <row r="43" spans="12:14" x14ac:dyDescent="0.2">
      <c r="L43" s="30"/>
      <c r="M43" s="30"/>
      <c r="N43" s="30"/>
    </row>
    <row r="44" spans="12:14" x14ac:dyDescent="0.2">
      <c r="L44" s="30"/>
      <c r="M44" s="30"/>
      <c r="N44" s="30"/>
    </row>
    <row r="45" spans="12:14" x14ac:dyDescent="0.2">
      <c r="L45" s="30"/>
      <c r="M45" s="30"/>
      <c r="N45" s="30"/>
    </row>
    <row r="46" spans="12:14" x14ac:dyDescent="0.2">
      <c r="L46" s="30"/>
      <c r="M46" s="30"/>
      <c r="N46" s="30"/>
    </row>
    <row r="47" spans="12:14" x14ac:dyDescent="0.2">
      <c r="L47" s="30" t="s">
        <v>0</v>
      </c>
      <c r="M47" s="30">
        <f>SUM(M31:M46)</f>
        <v>2950</v>
      </c>
      <c r="N47" s="30"/>
    </row>
  </sheetData>
  <mergeCells count="2">
    <mergeCell ref="C15:D15"/>
    <mergeCell ref="R15:R17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6"/>
  <dimension ref="A1:T116"/>
  <sheetViews>
    <sheetView zoomScale="85" zoomScaleNormal="85" workbookViewId="0">
      <selection activeCell="P61" sqref="P61"/>
    </sheetView>
  </sheetViews>
  <sheetFormatPr defaultRowHeight="15" x14ac:dyDescent="0.25"/>
  <cols>
    <col min="2" max="2" width="12.5703125" bestFit="1" customWidth="1"/>
    <col min="3" max="3" width="17.28515625" bestFit="1" customWidth="1"/>
    <col min="4" max="4" width="16" customWidth="1"/>
    <col min="5" max="5" width="17.28515625" customWidth="1"/>
    <col min="6" max="6" width="9.7109375" bestFit="1" customWidth="1"/>
    <col min="7" max="7" width="9.28515625" bestFit="1" customWidth="1"/>
    <col min="8" max="8" width="16" customWidth="1"/>
    <col min="9" max="9" width="33.140625" bestFit="1" customWidth="1"/>
    <col min="10" max="11" width="12.28515625" bestFit="1" customWidth="1"/>
    <col min="12" max="12" width="8.140625" bestFit="1" customWidth="1"/>
    <col min="13" max="13" width="11" bestFit="1" customWidth="1"/>
    <col min="16" max="16" width="15.28515625" bestFit="1" customWidth="1"/>
    <col min="18" max="18" width="18.28515625" bestFit="1" customWidth="1"/>
  </cols>
  <sheetData>
    <row r="1" spans="1:19" x14ac:dyDescent="0.25">
      <c r="B1" s="17" t="s">
        <v>352</v>
      </c>
      <c r="F1" s="15">
        <v>500000</v>
      </c>
      <c r="G1" s="1"/>
    </row>
    <row r="2" spans="1:19" x14ac:dyDescent="0.25">
      <c r="B2" s="17"/>
      <c r="C2" s="26" t="s">
        <v>1348</v>
      </c>
      <c r="E2" s="26"/>
      <c r="F2" s="1" t="s">
        <v>437</v>
      </c>
      <c r="G2" s="1" t="s">
        <v>15</v>
      </c>
      <c r="I2" s="17" t="s">
        <v>1349</v>
      </c>
      <c r="J2" s="15">
        <f>SUM(G3:G62)</f>
        <v>500176</v>
      </c>
    </row>
    <row r="3" spans="1:19" x14ac:dyDescent="0.25">
      <c r="A3" s="40">
        <v>41699</v>
      </c>
      <c r="B3" s="17" t="s">
        <v>1191</v>
      </c>
      <c r="C3" s="29"/>
      <c r="F3" s="15">
        <v>0</v>
      </c>
      <c r="G3" s="15">
        <v>11632</v>
      </c>
      <c r="I3" s="17" t="s">
        <v>0</v>
      </c>
      <c r="J3" s="15">
        <f>SUM(F3:F62)</f>
        <v>197744</v>
      </c>
    </row>
    <row r="4" spans="1:19" x14ac:dyDescent="0.25">
      <c r="A4" s="40">
        <v>41730</v>
      </c>
      <c r="B4" s="17" t="s">
        <v>1193</v>
      </c>
      <c r="C4" s="29"/>
      <c r="F4" s="15">
        <v>0</v>
      </c>
      <c r="G4" s="15">
        <v>11632</v>
      </c>
      <c r="I4" s="17"/>
      <c r="J4" s="1"/>
    </row>
    <row r="5" spans="1:19" x14ac:dyDescent="0.25">
      <c r="A5" s="40">
        <v>41760</v>
      </c>
      <c r="B5" s="17" t="s">
        <v>1195</v>
      </c>
      <c r="C5" s="29"/>
      <c r="F5" s="15">
        <v>0</v>
      </c>
      <c r="G5" s="15">
        <v>11632</v>
      </c>
      <c r="I5" s="17" t="s">
        <v>18</v>
      </c>
      <c r="J5" s="15">
        <f>SUM(J2:J3)</f>
        <v>697920</v>
      </c>
    </row>
    <row r="6" spans="1:19" x14ac:dyDescent="0.25">
      <c r="A6" s="40">
        <v>41791</v>
      </c>
      <c r="B6" s="17" t="s">
        <v>1197</v>
      </c>
      <c r="C6" s="29"/>
      <c r="F6" s="15">
        <v>0</v>
      </c>
      <c r="G6" s="15">
        <v>11632</v>
      </c>
      <c r="I6" s="17" t="s">
        <v>1198</v>
      </c>
      <c r="J6" s="15">
        <f>J5-F1</f>
        <v>197920</v>
      </c>
      <c r="R6" t="s">
        <v>855</v>
      </c>
      <c r="S6">
        <v>200000</v>
      </c>
    </row>
    <row r="7" spans="1:19" x14ac:dyDescent="0.25">
      <c r="A7" s="40">
        <v>41821</v>
      </c>
      <c r="B7" s="17" t="s">
        <v>1199</v>
      </c>
      <c r="C7" s="29"/>
      <c r="F7" s="15">
        <v>0</v>
      </c>
      <c r="G7" s="15">
        <v>11632</v>
      </c>
      <c r="I7" s="1"/>
      <c r="J7" s="1"/>
      <c r="R7" t="s">
        <v>1350</v>
      </c>
      <c r="S7">
        <v>100000</v>
      </c>
    </row>
    <row r="8" spans="1:19" x14ac:dyDescent="0.25">
      <c r="A8" s="40">
        <v>41852</v>
      </c>
      <c r="B8" s="17" t="s">
        <v>1201</v>
      </c>
      <c r="C8" s="29"/>
      <c r="D8" s="11"/>
      <c r="F8" s="15">
        <v>0</v>
      </c>
      <c r="G8" s="15">
        <v>11632</v>
      </c>
      <c r="I8" s="17" t="s">
        <v>1351</v>
      </c>
      <c r="J8" s="15">
        <v>197214.49</v>
      </c>
      <c r="R8" t="s">
        <v>1352</v>
      </c>
      <c r="S8">
        <v>74000</v>
      </c>
    </row>
    <row r="9" spans="1:19" x14ac:dyDescent="0.25">
      <c r="A9" s="40">
        <v>41883</v>
      </c>
      <c r="B9" s="17" t="s">
        <v>1203</v>
      </c>
      <c r="C9" s="29"/>
      <c r="F9" s="15">
        <v>0</v>
      </c>
      <c r="G9" s="15">
        <v>11632</v>
      </c>
      <c r="I9" s="1"/>
      <c r="J9" s="1"/>
    </row>
    <row r="10" spans="1:19" x14ac:dyDescent="0.25">
      <c r="A10" s="40">
        <v>41913</v>
      </c>
      <c r="B10" s="17" t="s">
        <v>1205</v>
      </c>
      <c r="C10" s="29"/>
      <c r="D10" s="1" t="s">
        <v>352</v>
      </c>
      <c r="E10" s="1" t="s">
        <v>17</v>
      </c>
      <c r="F10" s="15">
        <v>0</v>
      </c>
      <c r="G10" s="15">
        <v>11632</v>
      </c>
      <c r="I10" s="17" t="s">
        <v>1353</v>
      </c>
      <c r="J10" s="15">
        <f>J3-J8</f>
        <v>529.51000000000931</v>
      </c>
    </row>
    <row r="11" spans="1:19" hidden="1" x14ac:dyDescent="0.25">
      <c r="A11" s="41"/>
      <c r="B11" s="17" t="s">
        <v>1207</v>
      </c>
      <c r="D11" s="1"/>
      <c r="E11" s="1"/>
      <c r="F11" s="15">
        <v>0</v>
      </c>
      <c r="G11" s="15">
        <v>11632</v>
      </c>
      <c r="I11" s="1"/>
      <c r="J11" s="1"/>
    </row>
    <row r="12" spans="1:19" hidden="1" x14ac:dyDescent="0.25">
      <c r="A12" s="41"/>
      <c r="B12" s="17" t="s">
        <v>1208</v>
      </c>
      <c r="D12" s="1"/>
      <c r="E12" s="1"/>
      <c r="F12" s="15">
        <v>0</v>
      </c>
      <c r="G12" s="15">
        <v>11632</v>
      </c>
      <c r="I12" s="1"/>
      <c r="J12" s="1"/>
    </row>
    <row r="13" spans="1:19" hidden="1" x14ac:dyDescent="0.25">
      <c r="A13" s="41"/>
      <c r="B13" s="17" t="s">
        <v>1209</v>
      </c>
      <c r="D13" s="1"/>
      <c r="E13" s="1"/>
      <c r="F13" s="15">
        <v>0</v>
      </c>
      <c r="G13" s="15">
        <v>11632</v>
      </c>
      <c r="I13" s="1"/>
      <c r="J13" s="1"/>
    </row>
    <row r="14" spans="1:19" hidden="1" x14ac:dyDescent="0.25">
      <c r="A14" s="41"/>
      <c r="B14" s="17" t="s">
        <v>1210</v>
      </c>
      <c r="D14" s="1"/>
      <c r="E14" s="1"/>
      <c r="F14" s="15">
        <v>0</v>
      </c>
      <c r="G14" s="15">
        <v>11632</v>
      </c>
      <c r="I14" s="1"/>
      <c r="J14" s="1"/>
    </row>
    <row r="15" spans="1:19" hidden="1" x14ac:dyDescent="0.25">
      <c r="A15" s="41"/>
      <c r="B15" s="17" t="s">
        <v>1212</v>
      </c>
      <c r="D15" s="1"/>
      <c r="E15" s="1"/>
      <c r="F15" s="15">
        <v>0</v>
      </c>
      <c r="G15" s="15">
        <v>11632</v>
      </c>
      <c r="I15" s="1"/>
      <c r="J15" s="1"/>
    </row>
    <row r="16" spans="1:19" hidden="1" x14ac:dyDescent="0.25">
      <c r="A16" s="41"/>
      <c r="B16" s="17" t="s">
        <v>1213</v>
      </c>
      <c r="D16" s="1"/>
      <c r="E16" s="1"/>
      <c r="F16" s="15">
        <v>0</v>
      </c>
      <c r="G16" s="15">
        <v>11632</v>
      </c>
      <c r="I16" s="1"/>
      <c r="J16" s="1"/>
    </row>
    <row r="17" spans="1:10" hidden="1" x14ac:dyDescent="0.25">
      <c r="A17" s="41"/>
      <c r="B17" s="17" t="s">
        <v>1214</v>
      </c>
      <c r="D17" s="1"/>
      <c r="E17" s="1"/>
      <c r="F17" s="15">
        <v>0</v>
      </c>
      <c r="G17" s="15">
        <v>11632</v>
      </c>
      <c r="I17" s="1"/>
      <c r="J17" s="1"/>
    </row>
    <row r="18" spans="1:10" hidden="1" x14ac:dyDescent="0.25">
      <c r="A18" s="41"/>
      <c r="B18" s="17" t="s">
        <v>1215</v>
      </c>
      <c r="D18" s="1"/>
      <c r="E18" s="1"/>
      <c r="F18" s="15">
        <v>0</v>
      </c>
      <c r="G18" s="15">
        <v>11632</v>
      </c>
      <c r="I18" s="1"/>
      <c r="J18" s="1"/>
    </row>
    <row r="19" spans="1:10" hidden="1" x14ac:dyDescent="0.25">
      <c r="A19" s="41"/>
      <c r="B19" s="17" t="s">
        <v>1217</v>
      </c>
      <c r="D19" s="1"/>
      <c r="E19" s="1"/>
      <c r="F19" s="15">
        <v>0</v>
      </c>
      <c r="G19" s="15">
        <v>11632</v>
      </c>
      <c r="I19" s="1"/>
      <c r="J19" s="1"/>
    </row>
    <row r="20" spans="1:10" hidden="1" x14ac:dyDescent="0.25">
      <c r="A20" s="41"/>
      <c r="B20" s="17" t="s">
        <v>1218</v>
      </c>
      <c r="D20" s="1"/>
      <c r="E20" s="1"/>
      <c r="F20" s="15">
        <v>0</v>
      </c>
      <c r="G20" s="15">
        <v>11632</v>
      </c>
      <c r="I20" s="1"/>
      <c r="J20" s="1"/>
    </row>
    <row r="21" spans="1:10" hidden="1" x14ac:dyDescent="0.25">
      <c r="A21" s="41"/>
      <c r="B21" s="17" t="s">
        <v>1219</v>
      </c>
      <c r="D21" s="1"/>
      <c r="E21" s="1"/>
      <c r="F21" s="15">
        <v>0</v>
      </c>
      <c r="G21" s="15">
        <v>11632</v>
      </c>
      <c r="I21" s="1"/>
      <c r="J21" s="1"/>
    </row>
    <row r="22" spans="1:10" hidden="1" x14ac:dyDescent="0.25">
      <c r="A22" s="41"/>
      <c r="B22" s="17" t="s">
        <v>1220</v>
      </c>
      <c r="D22" s="1"/>
      <c r="E22" s="1"/>
      <c r="F22" s="15">
        <v>0</v>
      </c>
      <c r="G22" s="15">
        <v>11632</v>
      </c>
      <c r="I22" s="1"/>
      <c r="J22" s="1"/>
    </row>
    <row r="23" spans="1:10" hidden="1" x14ac:dyDescent="0.25">
      <c r="A23" s="41"/>
      <c r="B23" s="17" t="s">
        <v>1221</v>
      </c>
      <c r="D23" s="1"/>
      <c r="E23" s="1"/>
      <c r="F23" s="15">
        <v>0</v>
      </c>
      <c r="G23" s="15">
        <v>11632</v>
      </c>
      <c r="I23" s="1"/>
      <c r="J23" s="1"/>
    </row>
    <row r="24" spans="1:10" hidden="1" x14ac:dyDescent="0.25">
      <c r="A24" s="41"/>
      <c r="B24" s="17" t="s">
        <v>1222</v>
      </c>
      <c r="D24" s="1"/>
      <c r="E24" s="1"/>
      <c r="F24" s="15">
        <v>0</v>
      </c>
      <c r="G24" s="15">
        <v>11632</v>
      </c>
      <c r="I24" s="1"/>
      <c r="J24" s="1"/>
    </row>
    <row r="25" spans="1:10" hidden="1" x14ac:dyDescent="0.25">
      <c r="A25" s="41"/>
      <c r="B25" s="17" t="s">
        <v>1223</v>
      </c>
      <c r="D25" s="1"/>
      <c r="E25" s="1"/>
      <c r="F25" s="15">
        <v>0</v>
      </c>
      <c r="G25" s="15">
        <v>11632</v>
      </c>
      <c r="I25" s="1"/>
      <c r="J25" s="1"/>
    </row>
    <row r="26" spans="1:10" hidden="1" x14ac:dyDescent="0.25">
      <c r="A26" s="41"/>
      <c r="B26" s="17" t="s">
        <v>1224</v>
      </c>
      <c r="D26" s="1"/>
      <c r="E26" s="1"/>
      <c r="F26" s="15">
        <v>0</v>
      </c>
      <c r="G26" s="15">
        <v>11632</v>
      </c>
      <c r="I26" s="1"/>
      <c r="J26" s="1"/>
    </row>
    <row r="27" spans="1:10" hidden="1" x14ac:dyDescent="0.25">
      <c r="A27" s="41"/>
      <c r="B27" s="17" t="s">
        <v>1225</v>
      </c>
      <c r="D27" s="1"/>
      <c r="E27" s="1"/>
      <c r="F27" s="15">
        <v>0</v>
      </c>
      <c r="G27" s="15">
        <v>11632</v>
      </c>
      <c r="I27" s="1"/>
      <c r="J27" s="1"/>
    </row>
    <row r="28" spans="1:10" hidden="1" x14ac:dyDescent="0.25">
      <c r="A28" s="41"/>
      <c r="B28" s="17" t="s">
        <v>1226</v>
      </c>
      <c r="D28" s="1"/>
      <c r="E28" s="1"/>
      <c r="F28" s="15">
        <v>0</v>
      </c>
      <c r="G28" s="15">
        <v>11632</v>
      </c>
      <c r="I28" s="1"/>
      <c r="J28" s="1"/>
    </row>
    <row r="29" spans="1:10" hidden="1" x14ac:dyDescent="0.25">
      <c r="A29" s="41"/>
      <c r="B29" s="17" t="s">
        <v>1227</v>
      </c>
      <c r="D29" s="1"/>
      <c r="E29" s="1"/>
      <c r="F29" s="15">
        <v>0</v>
      </c>
      <c r="G29" s="15">
        <v>11632</v>
      </c>
      <c r="I29" s="1"/>
      <c r="J29" s="1"/>
    </row>
    <row r="30" spans="1:10" hidden="1" x14ac:dyDescent="0.25">
      <c r="A30" s="41"/>
      <c r="B30" s="17" t="s">
        <v>1228</v>
      </c>
      <c r="D30" s="1"/>
      <c r="E30" s="1"/>
      <c r="F30" s="15">
        <v>0</v>
      </c>
      <c r="G30" s="15">
        <v>11632</v>
      </c>
      <c r="I30" s="1"/>
      <c r="J30" s="1"/>
    </row>
    <row r="31" spans="1:10" hidden="1" x14ac:dyDescent="0.25">
      <c r="A31" s="41"/>
      <c r="B31" s="17" t="s">
        <v>1229</v>
      </c>
      <c r="D31" s="1"/>
      <c r="E31" s="1"/>
      <c r="F31" s="15">
        <v>0</v>
      </c>
      <c r="G31" s="15">
        <v>11632</v>
      </c>
      <c r="I31" s="1"/>
      <c r="J31" s="1"/>
    </row>
    <row r="32" spans="1:10" hidden="1" x14ac:dyDescent="0.25">
      <c r="A32" s="41"/>
      <c r="B32" s="17" t="s">
        <v>1230</v>
      </c>
      <c r="D32" s="1"/>
      <c r="E32" s="1"/>
      <c r="F32" s="15">
        <v>0</v>
      </c>
      <c r="G32" s="15">
        <v>11632</v>
      </c>
      <c r="I32" s="1"/>
      <c r="J32" s="1"/>
    </row>
    <row r="33" spans="1:16" hidden="1" x14ac:dyDescent="0.25">
      <c r="A33" s="41"/>
      <c r="B33" s="17" t="s">
        <v>1231</v>
      </c>
      <c r="D33" s="1"/>
      <c r="E33" s="1"/>
      <c r="F33" s="15">
        <v>0</v>
      </c>
      <c r="G33" s="15">
        <v>11632</v>
      </c>
      <c r="I33" s="1"/>
      <c r="J33" s="1"/>
    </row>
    <row r="34" spans="1:16" hidden="1" x14ac:dyDescent="0.25">
      <c r="A34" s="41"/>
      <c r="B34" s="17" t="s">
        <v>1232</v>
      </c>
      <c r="D34" s="1"/>
      <c r="E34" s="1"/>
      <c r="F34" s="15">
        <v>0</v>
      </c>
      <c r="G34" s="15">
        <v>11632</v>
      </c>
      <c r="I34" s="1"/>
      <c r="J34" s="1"/>
    </row>
    <row r="35" spans="1:16" hidden="1" x14ac:dyDescent="0.25">
      <c r="A35" s="41"/>
      <c r="B35" s="17" t="s">
        <v>1233</v>
      </c>
      <c r="D35" s="1"/>
      <c r="E35" s="1"/>
      <c r="F35" s="15">
        <v>0</v>
      </c>
      <c r="G35" s="15">
        <v>11632</v>
      </c>
      <c r="I35" s="1"/>
      <c r="J35" s="1"/>
    </row>
    <row r="36" spans="1:16" hidden="1" x14ac:dyDescent="0.25">
      <c r="A36" s="41"/>
      <c r="B36" s="17" t="s">
        <v>1234</v>
      </c>
      <c r="D36" s="1"/>
      <c r="E36" s="1"/>
      <c r="F36" s="15">
        <v>0</v>
      </c>
      <c r="G36" s="15">
        <v>11632</v>
      </c>
      <c r="I36" s="1"/>
      <c r="J36" s="1"/>
    </row>
    <row r="37" spans="1:16" hidden="1" x14ac:dyDescent="0.25">
      <c r="A37" s="41"/>
      <c r="B37" s="17" t="s">
        <v>1235</v>
      </c>
      <c r="D37" s="1"/>
      <c r="E37" s="1"/>
      <c r="F37" s="15">
        <v>0</v>
      </c>
      <c r="G37" s="15">
        <v>11632</v>
      </c>
      <c r="I37" s="1"/>
      <c r="J37" s="1"/>
    </row>
    <row r="38" spans="1:16" hidden="1" x14ac:dyDescent="0.25">
      <c r="A38" s="41"/>
      <c r="B38" s="17" t="s">
        <v>1236</v>
      </c>
      <c r="D38" s="1"/>
      <c r="E38" s="1"/>
      <c r="F38" s="15">
        <v>0</v>
      </c>
      <c r="G38" s="15">
        <v>11632</v>
      </c>
      <c r="I38" s="1"/>
      <c r="J38" s="1"/>
    </row>
    <row r="39" spans="1:16" hidden="1" x14ac:dyDescent="0.25">
      <c r="A39" s="41"/>
      <c r="B39" s="17" t="s">
        <v>1237</v>
      </c>
      <c r="D39" s="1"/>
      <c r="E39" s="1"/>
      <c r="F39" s="15">
        <v>0</v>
      </c>
      <c r="G39" s="15">
        <v>11632</v>
      </c>
      <c r="I39" s="1"/>
      <c r="J39" s="1"/>
    </row>
    <row r="40" spans="1:16" hidden="1" x14ac:dyDescent="0.25">
      <c r="A40" s="41"/>
      <c r="B40" s="17" t="s">
        <v>1238</v>
      </c>
      <c r="D40" s="1"/>
      <c r="E40" s="1"/>
      <c r="F40" s="15">
        <v>0</v>
      </c>
      <c r="G40" s="15">
        <v>11632</v>
      </c>
      <c r="I40" s="1"/>
      <c r="J40" s="1"/>
    </row>
    <row r="41" spans="1:16" hidden="1" x14ac:dyDescent="0.25">
      <c r="A41" s="41"/>
      <c r="B41" s="17" t="s">
        <v>1239</v>
      </c>
      <c r="D41" s="1"/>
      <c r="E41" s="1"/>
      <c r="F41" s="15">
        <v>0</v>
      </c>
      <c r="G41" s="15">
        <v>11632</v>
      </c>
      <c r="I41" s="1"/>
      <c r="J41" s="1"/>
    </row>
    <row r="42" spans="1:16" hidden="1" x14ac:dyDescent="0.25">
      <c r="A42" s="41"/>
      <c r="B42" s="17" t="s">
        <v>1240</v>
      </c>
      <c r="D42" s="1"/>
      <c r="E42" s="1"/>
      <c r="F42" s="15">
        <v>0</v>
      </c>
      <c r="G42" s="15">
        <v>11632</v>
      </c>
      <c r="I42" s="1"/>
      <c r="J42" s="1"/>
    </row>
    <row r="43" spans="1:16" x14ac:dyDescent="0.25">
      <c r="A43" s="42">
        <v>42887</v>
      </c>
      <c r="B43" s="17" t="s">
        <v>1241</v>
      </c>
      <c r="C43" s="14">
        <v>206439.44</v>
      </c>
      <c r="D43" s="1"/>
      <c r="E43" s="1"/>
      <c r="F43" s="15">
        <v>0</v>
      </c>
      <c r="G43" s="15">
        <f>G10-F43</f>
        <v>11632</v>
      </c>
      <c r="H43" s="11"/>
      <c r="I43" s="17" t="s">
        <v>1354</v>
      </c>
      <c r="J43" s="1">
        <f>J10/19</f>
        <v>27.868947368421544</v>
      </c>
    </row>
    <row r="44" spans="1:16" x14ac:dyDescent="0.25">
      <c r="A44" s="42">
        <v>42917</v>
      </c>
      <c r="B44" s="17" t="s">
        <v>1242</v>
      </c>
      <c r="C44" s="15">
        <v>197214.49</v>
      </c>
      <c r="D44" s="15">
        <v>0</v>
      </c>
      <c r="E44" s="15">
        <v>0</v>
      </c>
      <c r="F44" s="15">
        <v>0</v>
      </c>
      <c r="G44" s="15">
        <f t="shared" ref="G44:G62" si="0">G11-F44</f>
        <v>11632</v>
      </c>
      <c r="H44" s="11"/>
    </row>
    <row r="45" spans="1:16" x14ac:dyDescent="0.25">
      <c r="A45" s="42">
        <v>42948</v>
      </c>
      <c r="B45" s="17" t="s">
        <v>1243</v>
      </c>
      <c r="C45" s="15">
        <v>187881.98</v>
      </c>
      <c r="D45" s="15">
        <v>0</v>
      </c>
      <c r="E45" s="15">
        <v>0</v>
      </c>
      <c r="F45" s="15">
        <v>0</v>
      </c>
      <c r="G45" s="15">
        <f t="shared" si="0"/>
        <v>11632</v>
      </c>
      <c r="H45" s="11"/>
      <c r="I45" s="43" t="s">
        <v>1355</v>
      </c>
      <c r="J45" s="17" t="s">
        <v>1356</v>
      </c>
      <c r="K45" s="17" t="s">
        <v>1357</v>
      </c>
      <c r="L45" s="17" t="s">
        <v>1358</v>
      </c>
      <c r="M45" s="17">
        <v>-11632</v>
      </c>
    </row>
    <row r="46" spans="1:16" x14ac:dyDescent="0.25">
      <c r="A46" s="27">
        <v>42979</v>
      </c>
      <c r="B46" s="17" t="s">
        <v>1244</v>
      </c>
      <c r="C46" s="15">
        <v>178440.66</v>
      </c>
      <c r="D46" s="15">
        <f t="shared" ref="D46:D62" si="1">C45-C46</f>
        <v>9441.320000000007</v>
      </c>
      <c r="E46" s="15">
        <f t="shared" ref="E46:E62" si="2">(F46+G46)-D46</f>
        <v>2190.679999999993</v>
      </c>
      <c r="F46" s="15">
        <v>11632</v>
      </c>
      <c r="G46" s="15">
        <f t="shared" si="0"/>
        <v>0</v>
      </c>
      <c r="H46" s="11"/>
      <c r="I46" s="1">
        <v>192558</v>
      </c>
      <c r="J46" s="1">
        <f>I46*15.25/1200</f>
        <v>2447.0912499999999</v>
      </c>
      <c r="K46" s="1">
        <f t="shared" ref="K46:K63" si="3">I46*14/1200</f>
        <v>2246.5100000000002</v>
      </c>
      <c r="L46" s="1"/>
      <c r="M46" s="1" t="s">
        <v>842</v>
      </c>
      <c r="O46">
        <v>100000</v>
      </c>
      <c r="P46">
        <f>O46*15.25/1200</f>
        <v>1270.8333333333333</v>
      </c>
    </row>
    <row r="47" spans="1:16" x14ac:dyDescent="0.25">
      <c r="A47" s="27">
        <v>43009</v>
      </c>
      <c r="B47" s="17" t="s">
        <v>1245</v>
      </c>
      <c r="C47" s="15">
        <v>168889.25</v>
      </c>
      <c r="D47" s="15">
        <f t="shared" si="1"/>
        <v>9551.4100000000035</v>
      </c>
      <c r="E47" s="15">
        <f t="shared" si="2"/>
        <v>2080.5899999999965</v>
      </c>
      <c r="F47" s="15">
        <v>11632</v>
      </c>
      <c r="G47" s="15">
        <f t="shared" si="0"/>
        <v>0</v>
      </c>
      <c r="H47" s="11"/>
      <c r="I47" s="1">
        <f>I46-15000</f>
        <v>177558</v>
      </c>
      <c r="J47" s="1">
        <f t="shared" ref="J47:J60" si="4">I47*15.25/1200</f>
        <v>2256.4662499999999</v>
      </c>
      <c r="K47" s="1">
        <f t="shared" si="3"/>
        <v>2071.5100000000002</v>
      </c>
      <c r="L47" s="1"/>
      <c r="M47" s="1" t="s">
        <v>845</v>
      </c>
      <c r="O47">
        <v>80000</v>
      </c>
      <c r="P47">
        <f>O47*15.25/1200</f>
        <v>1016.6666666666666</v>
      </c>
    </row>
    <row r="48" spans="1:16" x14ac:dyDescent="0.25">
      <c r="A48" s="27">
        <v>43040</v>
      </c>
      <c r="B48" s="17" t="s">
        <v>1246</v>
      </c>
      <c r="C48" s="15">
        <v>159226.47</v>
      </c>
      <c r="D48" s="15">
        <f t="shared" si="1"/>
        <v>9662.7799999999988</v>
      </c>
      <c r="E48" s="15">
        <f t="shared" si="2"/>
        <v>1969.2200000000012</v>
      </c>
      <c r="F48" s="15">
        <v>11632</v>
      </c>
      <c r="G48" s="15">
        <f t="shared" si="0"/>
        <v>0</v>
      </c>
      <c r="H48" s="11"/>
      <c r="I48" s="1">
        <f t="shared" ref="I48:I58" si="5">I47-15000</f>
        <v>162558</v>
      </c>
      <c r="J48" s="1">
        <f t="shared" si="4"/>
        <v>2065.8412499999999</v>
      </c>
      <c r="K48" s="1">
        <f t="shared" si="3"/>
        <v>1896.51</v>
      </c>
      <c r="L48" s="1"/>
      <c r="M48" s="1" t="s">
        <v>847</v>
      </c>
      <c r="O48">
        <v>60000</v>
      </c>
      <c r="P48">
        <f>O48*15.25/1200</f>
        <v>762.5</v>
      </c>
    </row>
    <row r="49" spans="1:19" x14ac:dyDescent="0.25">
      <c r="A49" s="27">
        <v>43070</v>
      </c>
      <c r="B49" s="17" t="s">
        <v>1247</v>
      </c>
      <c r="C49" s="15">
        <v>149451.03</v>
      </c>
      <c r="D49" s="15">
        <f t="shared" si="1"/>
        <v>9775.4400000000023</v>
      </c>
      <c r="E49" s="15">
        <f t="shared" si="2"/>
        <v>1856.5599999999977</v>
      </c>
      <c r="F49" s="15">
        <v>11632</v>
      </c>
      <c r="G49" s="15">
        <f t="shared" si="0"/>
        <v>0</v>
      </c>
      <c r="H49" s="11"/>
      <c r="I49" s="1">
        <f t="shared" si="5"/>
        <v>147558</v>
      </c>
      <c r="J49" s="1">
        <f t="shared" si="4"/>
        <v>1875.2162499999999</v>
      </c>
      <c r="K49" s="1">
        <f t="shared" si="3"/>
        <v>1721.51</v>
      </c>
      <c r="L49" s="1"/>
      <c r="M49" s="1" t="s">
        <v>848</v>
      </c>
      <c r="O49">
        <v>40000</v>
      </c>
      <c r="P49">
        <f>O49*15.25/1200</f>
        <v>508.33333333333331</v>
      </c>
    </row>
    <row r="50" spans="1:19" x14ac:dyDescent="0.25">
      <c r="A50" s="27">
        <v>43101</v>
      </c>
      <c r="B50" s="17" t="s">
        <v>1248</v>
      </c>
      <c r="C50" s="15">
        <v>139561.60999999999</v>
      </c>
      <c r="D50" s="15">
        <f t="shared" si="1"/>
        <v>9889.4200000000128</v>
      </c>
      <c r="E50" s="15">
        <f t="shared" si="2"/>
        <v>1742.5799999999872</v>
      </c>
      <c r="F50" s="15">
        <v>11632</v>
      </c>
      <c r="G50" s="15">
        <f t="shared" si="0"/>
        <v>0</v>
      </c>
      <c r="H50" s="11"/>
      <c r="I50" s="1">
        <f t="shared" si="5"/>
        <v>132558</v>
      </c>
      <c r="J50" s="1">
        <f t="shared" si="4"/>
        <v>1684.5912499999999</v>
      </c>
      <c r="K50" s="1">
        <f t="shared" si="3"/>
        <v>1546.51</v>
      </c>
      <c r="L50" s="1"/>
      <c r="M50" s="1" t="s">
        <v>850</v>
      </c>
      <c r="O50">
        <v>20000</v>
      </c>
      <c r="P50">
        <f>O50*15.25/1200</f>
        <v>254.16666666666666</v>
      </c>
    </row>
    <row r="51" spans="1:19" x14ac:dyDescent="0.25">
      <c r="A51" s="27">
        <v>43132</v>
      </c>
      <c r="B51" s="17" t="s">
        <v>1249</v>
      </c>
      <c r="C51" s="15">
        <v>129556.88</v>
      </c>
      <c r="D51" s="15">
        <f t="shared" si="1"/>
        <v>10004.729999999981</v>
      </c>
      <c r="E51" s="15">
        <f t="shared" si="2"/>
        <v>1627.2700000000186</v>
      </c>
      <c r="F51" s="15">
        <v>11632</v>
      </c>
      <c r="G51" s="15">
        <f t="shared" si="0"/>
        <v>0</v>
      </c>
      <c r="H51" s="11"/>
      <c r="I51" s="1">
        <f t="shared" si="5"/>
        <v>117558</v>
      </c>
      <c r="J51" s="1">
        <f t="shared" si="4"/>
        <v>1493.9662499999999</v>
      </c>
      <c r="K51" s="1">
        <f t="shared" si="3"/>
        <v>1371.51</v>
      </c>
      <c r="L51" s="1"/>
      <c r="M51" s="1" t="s">
        <v>851</v>
      </c>
    </row>
    <row r="52" spans="1:19" x14ac:dyDescent="0.25">
      <c r="A52" s="27">
        <v>43160</v>
      </c>
      <c r="B52" s="17" t="s">
        <v>1250</v>
      </c>
      <c r="C52" s="15">
        <v>119435.49</v>
      </c>
      <c r="D52" s="15">
        <f t="shared" si="1"/>
        <v>10121.39</v>
      </c>
      <c r="E52" s="15">
        <f t="shared" si="2"/>
        <v>1510.6100000000006</v>
      </c>
      <c r="F52" s="15">
        <v>11632</v>
      </c>
      <c r="G52" s="15">
        <f t="shared" si="0"/>
        <v>0</v>
      </c>
      <c r="H52" s="11"/>
      <c r="I52" s="1">
        <f t="shared" si="5"/>
        <v>102558</v>
      </c>
      <c r="J52" s="1">
        <f t="shared" si="4"/>
        <v>1303.3412499999999</v>
      </c>
      <c r="K52" s="1">
        <f t="shared" si="3"/>
        <v>1196.51</v>
      </c>
      <c r="L52" s="1"/>
      <c r="M52" s="1" t="s">
        <v>852</v>
      </c>
    </row>
    <row r="53" spans="1:19" x14ac:dyDescent="0.25">
      <c r="A53" s="27">
        <v>43191</v>
      </c>
      <c r="B53" s="17" t="s">
        <v>1251</v>
      </c>
      <c r="C53" s="15">
        <v>109196.09</v>
      </c>
      <c r="D53" s="15">
        <f t="shared" si="1"/>
        <v>10239.400000000009</v>
      </c>
      <c r="E53" s="15">
        <f t="shared" si="2"/>
        <v>1392.5999999999913</v>
      </c>
      <c r="F53" s="15">
        <v>11632</v>
      </c>
      <c r="G53" s="15">
        <f t="shared" si="0"/>
        <v>0</v>
      </c>
      <c r="H53" s="11"/>
      <c r="I53" s="1">
        <f t="shared" si="5"/>
        <v>87558</v>
      </c>
      <c r="J53" s="1">
        <f t="shared" si="4"/>
        <v>1112.7162499999999</v>
      </c>
      <c r="K53" s="1">
        <f t="shared" si="3"/>
        <v>1021.51</v>
      </c>
      <c r="L53" s="1"/>
      <c r="M53" s="1" t="s">
        <v>853</v>
      </c>
      <c r="P53" s="43" t="s">
        <v>1355</v>
      </c>
      <c r="Q53" s="17" t="s">
        <v>1356</v>
      </c>
      <c r="R53" s="17" t="s">
        <v>1359</v>
      </c>
      <c r="S53" s="17" t="s">
        <v>1358</v>
      </c>
    </row>
    <row r="54" spans="1:19" x14ac:dyDescent="0.25">
      <c r="A54" s="27">
        <v>43221</v>
      </c>
      <c r="B54" s="17" t="s">
        <v>1252</v>
      </c>
      <c r="C54" s="15">
        <v>98837.3</v>
      </c>
      <c r="D54" s="15">
        <f t="shared" si="1"/>
        <v>10358.789999999994</v>
      </c>
      <c r="E54" s="15">
        <f t="shared" si="2"/>
        <v>1273.2100000000064</v>
      </c>
      <c r="F54" s="15">
        <v>11632</v>
      </c>
      <c r="G54" s="15">
        <f t="shared" si="0"/>
        <v>0</v>
      </c>
      <c r="H54" s="11"/>
      <c r="I54" s="1">
        <f t="shared" si="5"/>
        <v>72558</v>
      </c>
      <c r="J54" s="1">
        <f t="shared" si="4"/>
        <v>922.09124999999995</v>
      </c>
      <c r="K54" s="1">
        <f t="shared" si="3"/>
        <v>846.51</v>
      </c>
      <c r="L54" s="1"/>
      <c r="M54" s="1" t="s">
        <v>854</v>
      </c>
      <c r="P54" s="1">
        <v>100000</v>
      </c>
      <c r="Q54" s="1">
        <f t="shared" ref="Q54:Q59" si="6">P54*15.25/1200</f>
        <v>1270.8333333333333</v>
      </c>
      <c r="R54" s="1">
        <f t="shared" ref="R54:R59" si="7">P54*11/1200</f>
        <v>916.66666666666663</v>
      </c>
      <c r="S54" s="1"/>
    </row>
    <row r="55" spans="1:19" x14ac:dyDescent="0.25">
      <c r="A55" s="27">
        <v>43252</v>
      </c>
      <c r="B55" s="17" t="s">
        <v>1253</v>
      </c>
      <c r="C55" s="15">
        <v>88357.73</v>
      </c>
      <c r="D55" s="15">
        <f t="shared" si="1"/>
        <v>10479.570000000007</v>
      </c>
      <c r="E55" s="15">
        <f t="shared" si="2"/>
        <v>1152.429999999993</v>
      </c>
      <c r="F55" s="15">
        <v>11632</v>
      </c>
      <c r="G55" s="15">
        <f t="shared" si="0"/>
        <v>0</v>
      </c>
      <c r="H55" s="11"/>
      <c r="I55" s="1">
        <f t="shared" si="5"/>
        <v>57558</v>
      </c>
      <c r="J55" s="1">
        <f t="shared" si="4"/>
        <v>731.46624999999995</v>
      </c>
      <c r="K55" s="1">
        <f t="shared" si="3"/>
        <v>671.51</v>
      </c>
      <c r="L55" s="1"/>
      <c r="M55" s="1" t="s">
        <v>565</v>
      </c>
      <c r="P55" s="1">
        <v>72000</v>
      </c>
      <c r="Q55" s="1">
        <f t="shared" si="6"/>
        <v>915</v>
      </c>
      <c r="R55" s="1">
        <f t="shared" si="7"/>
        <v>660</v>
      </c>
      <c r="S55" s="1"/>
    </row>
    <row r="56" spans="1:19" x14ac:dyDescent="0.25">
      <c r="A56" s="27">
        <v>43282</v>
      </c>
      <c r="B56" s="17" t="s">
        <v>1254</v>
      </c>
      <c r="C56" s="15">
        <v>77755.97</v>
      </c>
      <c r="D56" s="15">
        <f t="shared" si="1"/>
        <v>10601.759999999995</v>
      </c>
      <c r="E56" s="15">
        <f t="shared" si="2"/>
        <v>1030.2400000000052</v>
      </c>
      <c r="F56" s="15">
        <v>11632</v>
      </c>
      <c r="G56" s="15">
        <f t="shared" si="0"/>
        <v>0</v>
      </c>
      <c r="H56" s="11"/>
      <c r="I56" s="1">
        <f t="shared" si="5"/>
        <v>42558</v>
      </c>
      <c r="J56" s="1">
        <f t="shared" si="4"/>
        <v>540.84124999999995</v>
      </c>
      <c r="K56" s="1">
        <f t="shared" si="3"/>
        <v>496.51</v>
      </c>
      <c r="L56" s="1"/>
      <c r="M56" s="1" t="s">
        <v>837</v>
      </c>
      <c r="P56" s="1">
        <v>0</v>
      </c>
      <c r="Q56" s="1">
        <f t="shared" si="6"/>
        <v>0</v>
      </c>
      <c r="R56" s="1">
        <f t="shared" si="7"/>
        <v>0</v>
      </c>
      <c r="S56" s="1"/>
    </row>
    <row r="57" spans="1:19" x14ac:dyDescent="0.25">
      <c r="A57" s="27">
        <v>43313</v>
      </c>
      <c r="B57" s="17" t="s">
        <v>1255</v>
      </c>
      <c r="C57" s="15">
        <v>67030.59</v>
      </c>
      <c r="D57" s="15">
        <f t="shared" si="1"/>
        <v>10725.380000000005</v>
      </c>
      <c r="E57" s="15">
        <f t="shared" si="2"/>
        <v>906.61999999999534</v>
      </c>
      <c r="F57" s="15">
        <v>11632</v>
      </c>
      <c r="G57" s="15">
        <f t="shared" si="0"/>
        <v>0</v>
      </c>
      <c r="H57" s="11"/>
      <c r="I57" s="1">
        <f t="shared" si="5"/>
        <v>27558</v>
      </c>
      <c r="J57" s="1">
        <f t="shared" si="4"/>
        <v>350.21625</v>
      </c>
      <c r="K57" s="1">
        <f t="shared" si="3"/>
        <v>321.51</v>
      </c>
      <c r="L57" s="1"/>
      <c r="M57" s="1" t="s">
        <v>839</v>
      </c>
      <c r="P57" s="1">
        <v>0</v>
      </c>
      <c r="Q57" s="1">
        <f t="shared" si="6"/>
        <v>0</v>
      </c>
      <c r="R57" s="1">
        <f t="shared" si="7"/>
        <v>0</v>
      </c>
      <c r="S57" s="1"/>
    </row>
    <row r="58" spans="1:19" x14ac:dyDescent="0.25">
      <c r="A58" s="27">
        <v>43344</v>
      </c>
      <c r="B58" s="17" t="s">
        <v>1256</v>
      </c>
      <c r="C58" s="15">
        <v>56180.160000000003</v>
      </c>
      <c r="D58" s="15">
        <f t="shared" si="1"/>
        <v>10850.429999999993</v>
      </c>
      <c r="E58" s="15">
        <f t="shared" si="2"/>
        <v>781.57000000000698</v>
      </c>
      <c r="F58" s="15">
        <v>11632</v>
      </c>
      <c r="G58" s="15">
        <f t="shared" si="0"/>
        <v>0</v>
      </c>
      <c r="H58" s="11"/>
      <c r="I58" s="1">
        <f t="shared" si="5"/>
        <v>12558</v>
      </c>
      <c r="J58" s="1">
        <f t="shared" si="4"/>
        <v>159.59125</v>
      </c>
      <c r="K58" s="1">
        <f t="shared" si="3"/>
        <v>146.51</v>
      </c>
      <c r="L58" s="1"/>
      <c r="M58" s="1" t="s">
        <v>842</v>
      </c>
      <c r="P58" s="1">
        <v>0</v>
      </c>
      <c r="Q58" s="1">
        <f t="shared" si="6"/>
        <v>0</v>
      </c>
      <c r="R58" s="1">
        <f t="shared" si="7"/>
        <v>0</v>
      </c>
      <c r="S58" s="1"/>
    </row>
    <row r="59" spans="1:19" x14ac:dyDescent="0.25">
      <c r="A59" s="27">
        <v>43374</v>
      </c>
      <c r="B59" s="17" t="s">
        <v>1257</v>
      </c>
      <c r="C59" s="15">
        <v>45203.21</v>
      </c>
      <c r="D59" s="15">
        <f t="shared" si="1"/>
        <v>10976.950000000004</v>
      </c>
      <c r="E59" s="15">
        <f t="shared" si="2"/>
        <v>655.04999999999563</v>
      </c>
      <c r="F59" s="15">
        <v>11632</v>
      </c>
      <c r="G59" s="15">
        <f t="shared" si="0"/>
        <v>0</v>
      </c>
      <c r="H59" s="11"/>
      <c r="I59" s="1">
        <v>0</v>
      </c>
      <c r="J59" s="1">
        <f t="shared" si="4"/>
        <v>0</v>
      </c>
      <c r="K59" s="1">
        <f t="shared" si="3"/>
        <v>0</v>
      </c>
      <c r="L59" s="1"/>
      <c r="M59" s="1" t="s">
        <v>845</v>
      </c>
      <c r="P59" s="1">
        <v>0</v>
      </c>
      <c r="Q59" s="1">
        <f t="shared" si="6"/>
        <v>0</v>
      </c>
      <c r="R59" s="1">
        <f t="shared" si="7"/>
        <v>0</v>
      </c>
      <c r="S59" s="1"/>
    </row>
    <row r="60" spans="1:19" x14ac:dyDescent="0.25">
      <c r="A60" s="27">
        <v>43405</v>
      </c>
      <c r="B60" s="17" t="s">
        <v>1258</v>
      </c>
      <c r="C60" s="15">
        <v>34098.269999999997</v>
      </c>
      <c r="D60" s="15">
        <f t="shared" si="1"/>
        <v>11104.940000000002</v>
      </c>
      <c r="E60" s="15">
        <f t="shared" si="2"/>
        <v>527.05999999999767</v>
      </c>
      <c r="F60" s="15">
        <v>11632</v>
      </c>
      <c r="G60" s="15">
        <f t="shared" si="0"/>
        <v>0</v>
      </c>
      <c r="H60" s="11"/>
      <c r="I60" s="1">
        <v>0</v>
      </c>
      <c r="J60" s="1">
        <f t="shared" si="4"/>
        <v>0</v>
      </c>
      <c r="K60" s="1">
        <f t="shared" si="3"/>
        <v>0</v>
      </c>
      <c r="L60" s="1"/>
      <c r="M60" s="1" t="s">
        <v>847</v>
      </c>
    </row>
    <row r="61" spans="1:19" x14ac:dyDescent="0.25">
      <c r="A61" s="27">
        <v>43435</v>
      </c>
      <c r="B61" s="17" t="s">
        <v>1259</v>
      </c>
      <c r="C61" s="15">
        <v>22863.85</v>
      </c>
      <c r="D61" s="15">
        <f t="shared" si="1"/>
        <v>11234.419999999998</v>
      </c>
      <c r="E61" s="15">
        <f t="shared" si="2"/>
        <v>397.58000000000175</v>
      </c>
      <c r="F61" s="15">
        <v>11632</v>
      </c>
      <c r="G61" s="15">
        <f t="shared" si="0"/>
        <v>0</v>
      </c>
      <c r="H61" s="11"/>
      <c r="I61" s="1">
        <v>0</v>
      </c>
      <c r="J61" s="1">
        <f>I61*15.25/1200</f>
        <v>0</v>
      </c>
      <c r="K61" s="1">
        <f t="shared" si="3"/>
        <v>0</v>
      </c>
      <c r="L61" s="1"/>
      <c r="M61" s="1" t="s">
        <v>848</v>
      </c>
    </row>
    <row r="62" spans="1:19" x14ac:dyDescent="0.25">
      <c r="A62" s="27">
        <v>43466</v>
      </c>
      <c r="B62" s="17" t="s">
        <v>1260</v>
      </c>
      <c r="C62" s="15">
        <v>11498.44</v>
      </c>
      <c r="D62" s="15">
        <f t="shared" si="1"/>
        <v>11365.409999999998</v>
      </c>
      <c r="E62" s="15">
        <f t="shared" si="2"/>
        <v>266.59000000000196</v>
      </c>
      <c r="F62" s="15">
        <v>11632</v>
      </c>
      <c r="G62" s="15">
        <f t="shared" si="0"/>
        <v>0</v>
      </c>
      <c r="H62" s="11"/>
      <c r="I62" s="1">
        <v>0</v>
      </c>
      <c r="J62" s="1">
        <f>I62*15.25/1200</f>
        <v>0</v>
      </c>
      <c r="K62" s="1">
        <f t="shared" si="3"/>
        <v>0</v>
      </c>
      <c r="L62" s="1"/>
      <c r="M62" s="1" t="s">
        <v>850</v>
      </c>
    </row>
    <row r="63" spans="1:19" x14ac:dyDescent="0.25">
      <c r="I63" s="1">
        <v>0</v>
      </c>
      <c r="J63" s="1">
        <f>I63*15.25/1200</f>
        <v>0</v>
      </c>
      <c r="K63" s="1">
        <f t="shared" si="3"/>
        <v>0</v>
      </c>
      <c r="L63" s="1"/>
      <c r="M63" s="1" t="s">
        <v>851</v>
      </c>
    </row>
    <row r="64" spans="1:19" x14ac:dyDescent="0.25">
      <c r="C64" s="11"/>
      <c r="E64" s="11">
        <f>SUM(E44:E62)</f>
        <v>21360.459999999992</v>
      </c>
      <c r="I64" s="1">
        <v>0</v>
      </c>
      <c r="J64" s="1"/>
      <c r="K64" s="1"/>
      <c r="L64" s="1"/>
      <c r="M64" s="1" t="s">
        <v>852</v>
      </c>
    </row>
    <row r="66" spans="3:11" x14ac:dyDescent="0.25">
      <c r="C66" t="s">
        <v>1360</v>
      </c>
      <c r="D66">
        <f>C60*14/1200</f>
        <v>397.81314999999995</v>
      </c>
      <c r="F66">
        <v>197744</v>
      </c>
    </row>
    <row r="67" spans="3:11" x14ac:dyDescent="0.25">
      <c r="F67">
        <v>-192588</v>
      </c>
      <c r="J67">
        <f>SUM(J46:J63)</f>
        <v>16943.436249999999</v>
      </c>
      <c r="K67">
        <f>SUM(K46:K63)</f>
        <v>15554.630000000003</v>
      </c>
    </row>
    <row r="68" spans="3:11" x14ac:dyDescent="0.25">
      <c r="J68">
        <v>4434</v>
      </c>
    </row>
    <row r="69" spans="3:11" x14ac:dyDescent="0.25">
      <c r="J69">
        <v>219</v>
      </c>
    </row>
    <row r="79" spans="3:11" x14ac:dyDescent="0.25">
      <c r="D79">
        <v>790308.82</v>
      </c>
      <c r="E79">
        <v>11.9983</v>
      </c>
    </row>
    <row r="80" spans="3:11" x14ac:dyDescent="0.25">
      <c r="E80">
        <f>E79*D79/100</f>
        <v>94823.623150059997</v>
      </c>
    </row>
    <row r="81" spans="2:20" x14ac:dyDescent="0.25">
      <c r="L81">
        <v>2100000</v>
      </c>
      <c r="M81">
        <v>-35094</v>
      </c>
    </row>
    <row r="82" spans="2:20" x14ac:dyDescent="0.25">
      <c r="L82">
        <v>790308</v>
      </c>
    </row>
    <row r="83" spans="2:20" x14ac:dyDescent="0.25">
      <c r="L83">
        <v>1265179</v>
      </c>
    </row>
    <row r="84" spans="2:20" x14ac:dyDescent="0.25">
      <c r="L84">
        <f>L81-L82-L83</f>
        <v>44513</v>
      </c>
    </row>
    <row r="87" spans="2:20" x14ac:dyDescent="0.25">
      <c r="H87" t="s">
        <v>1361</v>
      </c>
      <c r="L87">
        <v>-1500</v>
      </c>
    </row>
    <row r="88" spans="2:20" x14ac:dyDescent="0.25">
      <c r="B88" s="1"/>
      <c r="C88" s="1"/>
      <c r="D88" s="1" t="s">
        <v>1362</v>
      </c>
      <c r="E88" s="1" t="s">
        <v>1363</v>
      </c>
      <c r="H88" t="s">
        <v>317</v>
      </c>
      <c r="I88">
        <v>1265179</v>
      </c>
      <c r="J88">
        <f>I88*13.5/36500</f>
        <v>467.94291780821919</v>
      </c>
      <c r="L88">
        <f>L87*15/100</f>
        <v>-225</v>
      </c>
    </row>
    <row r="89" spans="2:20" x14ac:dyDescent="0.25">
      <c r="B89" s="1" t="s">
        <v>1364</v>
      </c>
      <c r="C89" s="21">
        <v>34515</v>
      </c>
      <c r="D89" s="21">
        <f>C89*47</f>
        <v>1622205</v>
      </c>
      <c r="E89" s="21">
        <f>SUM(D89:D90)</f>
        <v>2543895</v>
      </c>
      <c r="H89" t="s">
        <v>1365</v>
      </c>
      <c r="I89">
        <v>798210.79</v>
      </c>
      <c r="J89">
        <f>J88*23</f>
        <v>10762.687109589042</v>
      </c>
    </row>
    <row r="90" spans="2:20" x14ac:dyDescent="0.25">
      <c r="B90" s="20" t="s">
        <v>1366</v>
      </c>
      <c r="C90" s="21">
        <v>26334</v>
      </c>
      <c r="D90" s="21">
        <f>C90*35</f>
        <v>921690</v>
      </c>
      <c r="E90" s="21"/>
      <c r="I90">
        <f>I89+I88</f>
        <v>2063389.79</v>
      </c>
      <c r="J90">
        <f>J89*15/100</f>
        <v>1614.4030664383563</v>
      </c>
    </row>
    <row r="91" spans="2:20" x14ac:dyDescent="0.25">
      <c r="B91" s="1" t="s">
        <v>1367</v>
      </c>
      <c r="C91" s="21">
        <v>72328</v>
      </c>
      <c r="D91" s="21">
        <f>C91*36</f>
        <v>2603808</v>
      </c>
      <c r="E91" s="21">
        <f>SUM(D91:D92)</f>
        <v>5089251.5999999996</v>
      </c>
    </row>
    <row r="92" spans="2:20" x14ac:dyDescent="0.25">
      <c r="B92" s="20" t="s">
        <v>1366</v>
      </c>
      <c r="C92" s="21">
        <v>69040.100000000006</v>
      </c>
      <c r="D92" s="21">
        <f>C92*36</f>
        <v>2485443.6</v>
      </c>
      <c r="E92" s="21"/>
    </row>
    <row r="93" spans="2:20" x14ac:dyDescent="0.25">
      <c r="C93" s="22">
        <f>C91-C92</f>
        <v>3287.8999999999942</v>
      </c>
      <c r="J93" s="1" t="s">
        <v>352</v>
      </c>
      <c r="K93" s="1">
        <v>2000000</v>
      </c>
      <c r="L93" s="1">
        <v>2100000</v>
      </c>
      <c r="M93" s="1">
        <v>2200000</v>
      </c>
      <c r="N93" s="1">
        <v>2100000</v>
      </c>
      <c r="Q93">
        <v>1200000</v>
      </c>
      <c r="R93">
        <v>1300000</v>
      </c>
    </row>
    <row r="94" spans="2:20" x14ac:dyDescent="0.25">
      <c r="D94" t="s">
        <v>1368</v>
      </c>
      <c r="E94" s="22">
        <f>E89-D95</f>
        <v>-61353</v>
      </c>
      <c r="J94" s="1"/>
      <c r="K94" s="717" t="s">
        <v>1369</v>
      </c>
      <c r="L94" s="717"/>
      <c r="M94" s="717"/>
      <c r="N94" s="23" t="s">
        <v>1370</v>
      </c>
      <c r="Q94">
        <v>13.5</v>
      </c>
      <c r="R94">
        <v>10.99</v>
      </c>
    </row>
    <row r="95" spans="2:20" x14ac:dyDescent="0.25">
      <c r="C95">
        <v>54276</v>
      </c>
      <c r="D95">
        <f>C95*48</f>
        <v>2605248</v>
      </c>
      <c r="J95" s="1"/>
      <c r="K95" s="23" t="s">
        <v>1371</v>
      </c>
      <c r="L95" s="23" t="s">
        <v>1372</v>
      </c>
      <c r="M95" s="23" t="s">
        <v>1373</v>
      </c>
      <c r="N95" s="23" t="s">
        <v>1372</v>
      </c>
      <c r="Q95">
        <v>27612</v>
      </c>
      <c r="R95">
        <v>28259</v>
      </c>
      <c r="S95">
        <f>R95*60</f>
        <v>1695540</v>
      </c>
      <c r="T95">
        <f>S95-R93</f>
        <v>395540</v>
      </c>
    </row>
    <row r="96" spans="2:20" x14ac:dyDescent="0.25">
      <c r="B96" t="s">
        <v>1374</v>
      </c>
      <c r="C96" s="22">
        <f>C89+C90-C95</f>
        <v>6573</v>
      </c>
      <c r="D96">
        <f>C96*36</f>
        <v>236628</v>
      </c>
      <c r="J96" s="1" t="s">
        <v>1375</v>
      </c>
      <c r="K96" s="1">
        <v>51974</v>
      </c>
      <c r="L96" s="1">
        <v>54572</v>
      </c>
      <c r="M96" s="1">
        <v>57171</v>
      </c>
      <c r="N96" s="1">
        <v>54276</v>
      </c>
      <c r="O96">
        <f>M96-N96</f>
        <v>2895</v>
      </c>
      <c r="R96">
        <v>33593</v>
      </c>
      <c r="S96">
        <f>R96*48</f>
        <v>1612464</v>
      </c>
      <c r="T96">
        <f>S96-R93</f>
        <v>312464</v>
      </c>
    </row>
    <row r="97" spans="2:20" x14ac:dyDescent="0.25">
      <c r="J97" s="1" t="s">
        <v>1376</v>
      </c>
      <c r="K97" s="44">
        <v>65753</v>
      </c>
      <c r="L97" s="44">
        <v>69040</v>
      </c>
      <c r="M97" s="44">
        <v>72328</v>
      </c>
      <c r="N97" s="44">
        <v>68751.3</v>
      </c>
      <c r="O97">
        <f>M97-N97</f>
        <v>3576.6999999999971</v>
      </c>
      <c r="R97">
        <v>42555</v>
      </c>
      <c r="S97">
        <f>R97*36</f>
        <v>1531980</v>
      </c>
      <c r="T97">
        <f>S97-R93</f>
        <v>231980</v>
      </c>
    </row>
    <row r="98" spans="2:20" x14ac:dyDescent="0.25">
      <c r="B98" s="1"/>
      <c r="C98" s="1"/>
      <c r="D98" s="1" t="s">
        <v>1362</v>
      </c>
      <c r="E98" s="1" t="s">
        <v>1363</v>
      </c>
      <c r="J98" s="1" t="s">
        <v>262</v>
      </c>
      <c r="K98" s="1">
        <f>K96-K97</f>
        <v>-13779</v>
      </c>
      <c r="L98" s="1">
        <f>L96-L97</f>
        <v>-14468</v>
      </c>
      <c r="M98" s="1">
        <f>M96-M97</f>
        <v>-15157</v>
      </c>
      <c r="N98" s="1">
        <f>N96-N97</f>
        <v>-14475.300000000003</v>
      </c>
      <c r="Q98">
        <f>Q95*10</f>
        <v>276120</v>
      </c>
    </row>
    <row r="99" spans="2:20" x14ac:dyDescent="0.25">
      <c r="B99" s="1" t="s">
        <v>1377</v>
      </c>
      <c r="C99" s="21">
        <v>27612</v>
      </c>
      <c r="D99" s="21">
        <f>C99*50</f>
        <v>1380600</v>
      </c>
      <c r="E99" s="1"/>
      <c r="G99" s="22">
        <f>D99-D102</f>
        <v>64680</v>
      </c>
    </row>
    <row r="100" spans="2:20" x14ac:dyDescent="0.25">
      <c r="B100" s="20"/>
      <c r="C100" s="1"/>
      <c r="D100" s="1"/>
      <c r="E100" s="1"/>
    </row>
    <row r="101" spans="2:20" x14ac:dyDescent="0.25">
      <c r="B101" s="1"/>
      <c r="C101" s="1"/>
      <c r="D101" s="1"/>
      <c r="E101" s="1"/>
      <c r="J101" s="1" t="s">
        <v>1378</v>
      </c>
      <c r="K101" s="1"/>
      <c r="L101" s="1"/>
      <c r="M101" s="1"/>
      <c r="N101" s="1"/>
    </row>
    <row r="102" spans="2:20" x14ac:dyDescent="0.25">
      <c r="B102" s="1" t="s">
        <v>1364</v>
      </c>
      <c r="C102" s="21">
        <v>27415</v>
      </c>
      <c r="D102" s="21">
        <f>C102*48</f>
        <v>1315920</v>
      </c>
      <c r="E102" s="1"/>
      <c r="J102" s="1" t="s">
        <v>1375</v>
      </c>
      <c r="K102" s="1">
        <f>K96*48</f>
        <v>2494752</v>
      </c>
      <c r="L102" s="1">
        <f>L96*48</f>
        <v>2619456</v>
      </c>
      <c r="M102" s="1">
        <f>M96*48</f>
        <v>2744208</v>
      </c>
      <c r="N102" s="16">
        <f>N96*48</f>
        <v>2605248</v>
      </c>
      <c r="S102">
        <v>-456709</v>
      </c>
    </row>
    <row r="103" spans="2:20" x14ac:dyDescent="0.25">
      <c r="B103" s="20"/>
      <c r="C103" s="1"/>
      <c r="D103" s="1"/>
      <c r="E103" s="1"/>
      <c r="J103" s="1" t="s">
        <v>1376</v>
      </c>
      <c r="K103" s="44">
        <f>K97*36</f>
        <v>2367108</v>
      </c>
      <c r="L103" s="44">
        <f>L97*36</f>
        <v>2485440</v>
      </c>
      <c r="M103" s="44">
        <f>M97*36</f>
        <v>2603808</v>
      </c>
      <c r="N103" s="44">
        <f>N97*36</f>
        <v>2475046.8000000003</v>
      </c>
      <c r="S103">
        <v>13500</v>
      </c>
    </row>
    <row r="104" spans="2:20" x14ac:dyDescent="0.25">
      <c r="J104" s="1"/>
      <c r="K104" s="1"/>
      <c r="L104" s="1"/>
      <c r="M104" s="1"/>
      <c r="N104" s="1"/>
      <c r="S104">
        <v>13341</v>
      </c>
    </row>
    <row r="105" spans="2:20" x14ac:dyDescent="0.25">
      <c r="D105" t="s">
        <v>1368</v>
      </c>
      <c r="E105" s="22">
        <f>E102-E99</f>
        <v>0</v>
      </c>
      <c r="J105" s="1" t="s">
        <v>1198</v>
      </c>
      <c r="K105" s="1"/>
      <c r="L105" s="1"/>
      <c r="M105" s="1"/>
      <c r="N105" s="1"/>
      <c r="S105">
        <v>13181</v>
      </c>
    </row>
    <row r="106" spans="2:20" x14ac:dyDescent="0.25">
      <c r="G106">
        <v>60849</v>
      </c>
      <c r="J106" s="1" t="s">
        <v>1375</v>
      </c>
      <c r="K106" s="1">
        <f>K102-K93</f>
        <v>494752</v>
      </c>
      <c r="L106" s="1">
        <f>L102-L93</f>
        <v>519456</v>
      </c>
      <c r="M106" s="1">
        <f>M102-M93</f>
        <v>544208</v>
      </c>
      <c r="N106" s="1">
        <f>N102-N93</f>
        <v>505248</v>
      </c>
      <c r="S106">
        <v>13018</v>
      </c>
    </row>
    <row r="107" spans="2:20" x14ac:dyDescent="0.25">
      <c r="G107">
        <v>-54276</v>
      </c>
      <c r="J107" s="1" t="s">
        <v>1376</v>
      </c>
      <c r="K107" s="1">
        <f>K103-K93</f>
        <v>367108</v>
      </c>
      <c r="L107" s="1">
        <f>L103-L93</f>
        <v>385440</v>
      </c>
      <c r="M107" s="1">
        <f>M103-M93</f>
        <v>403808</v>
      </c>
      <c r="N107" s="1">
        <f>N103-N93</f>
        <v>375046.80000000028</v>
      </c>
      <c r="S107">
        <v>12854</v>
      </c>
    </row>
    <row r="108" spans="2:20" x14ac:dyDescent="0.25">
      <c r="J108" s="1"/>
      <c r="K108" s="1"/>
      <c r="L108" s="1"/>
      <c r="M108" s="1"/>
      <c r="N108" s="1"/>
      <c r="S108">
        <v>12688</v>
      </c>
    </row>
    <row r="109" spans="2:20" ht="45" x14ac:dyDescent="0.25">
      <c r="J109" s="45" t="s">
        <v>1379</v>
      </c>
      <c r="K109" s="1">
        <f>K103-K102</f>
        <v>-127644</v>
      </c>
      <c r="L109" s="1">
        <f>L103-L102</f>
        <v>-134016</v>
      </c>
      <c r="M109" s="1">
        <f>M103-M102</f>
        <v>-140400</v>
      </c>
      <c r="N109" s="1">
        <f>N103-N102</f>
        <v>-130201.19999999972</v>
      </c>
      <c r="S109">
        <v>12520</v>
      </c>
    </row>
    <row r="110" spans="2:20" x14ac:dyDescent="0.25">
      <c r="J110" s="1"/>
      <c r="K110" s="1"/>
      <c r="L110" s="1"/>
      <c r="M110" s="1"/>
      <c r="N110" s="1"/>
      <c r="S110">
        <v>12350</v>
      </c>
    </row>
    <row r="111" spans="2:20" ht="45" x14ac:dyDescent="0.25">
      <c r="J111" s="45" t="s">
        <v>1380</v>
      </c>
      <c r="K111" s="1">
        <v>2543895</v>
      </c>
      <c r="L111" s="1">
        <v>2543895</v>
      </c>
      <c r="M111" s="1">
        <v>2543895</v>
      </c>
      <c r="N111" s="1">
        <v>2543895</v>
      </c>
      <c r="S111">
        <v>12179</v>
      </c>
    </row>
    <row r="112" spans="2:20" x14ac:dyDescent="0.25">
      <c r="J112" s="1"/>
      <c r="K112" s="1"/>
      <c r="L112" s="1"/>
      <c r="M112" s="1"/>
      <c r="N112" s="1"/>
      <c r="S112">
        <v>12005</v>
      </c>
    </row>
    <row r="113" spans="10:20" x14ac:dyDescent="0.25">
      <c r="J113" s="1" t="s">
        <v>1381</v>
      </c>
      <c r="K113" s="1">
        <f>K111-K102</f>
        <v>49143</v>
      </c>
      <c r="L113" s="1">
        <f>L111-L102</f>
        <v>-75561</v>
      </c>
      <c r="M113" s="1">
        <f>M111-M102</f>
        <v>-200313</v>
      </c>
      <c r="N113" s="1">
        <f>N111-N102</f>
        <v>-61353</v>
      </c>
    </row>
    <row r="114" spans="10:20" x14ac:dyDescent="0.25">
      <c r="J114" s="1" t="s">
        <v>1382</v>
      </c>
      <c r="K114" s="1">
        <f>K111-K103</f>
        <v>176787</v>
      </c>
      <c r="L114" s="1">
        <f>L111-L103</f>
        <v>58455</v>
      </c>
      <c r="M114" s="1">
        <f>M111-M103</f>
        <v>-59913</v>
      </c>
      <c r="N114" s="1">
        <f>N111-N103</f>
        <v>68848.199999999721</v>
      </c>
      <c r="R114" t="s">
        <v>1383</v>
      </c>
      <c r="S114">
        <f>SUM(S102:S113)</f>
        <v>-329073</v>
      </c>
    </row>
    <row r="116" spans="10:20" x14ac:dyDescent="0.25">
      <c r="R116" t="s">
        <v>1384</v>
      </c>
      <c r="S116">
        <f>S114+T96</f>
        <v>-16609</v>
      </c>
      <c r="T116">
        <f>S114+T97</f>
        <v>-97093</v>
      </c>
    </row>
  </sheetData>
  <mergeCells count="1">
    <mergeCell ref="K94:M9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B2E25-8B4A-4B73-9D57-8926EBF99EC7}">
  <dimension ref="A1:E10"/>
  <sheetViews>
    <sheetView workbookViewId="0">
      <selection activeCell="A11" sqref="A11"/>
    </sheetView>
  </sheetViews>
  <sheetFormatPr defaultRowHeight="15" x14ac:dyDescent="0.25"/>
  <sheetData>
    <row r="1" spans="1:5" x14ac:dyDescent="0.25">
      <c r="A1" t="s">
        <v>251</v>
      </c>
      <c r="B1">
        <v>68313</v>
      </c>
      <c r="D1" t="s">
        <v>18</v>
      </c>
      <c r="E1">
        <f>SUM(B1:B20)</f>
        <v>167597</v>
      </c>
    </row>
    <row r="2" spans="1:5" x14ac:dyDescent="0.25">
      <c r="A2" t="s">
        <v>252</v>
      </c>
      <c r="B2">
        <v>17257</v>
      </c>
    </row>
    <row r="3" spans="1:5" x14ac:dyDescent="0.25">
      <c r="A3" t="s">
        <v>253</v>
      </c>
      <c r="B3">
        <v>15976</v>
      </c>
    </row>
    <row r="4" spans="1:5" x14ac:dyDescent="0.25">
      <c r="A4" t="s">
        <v>254</v>
      </c>
      <c r="B4">
        <v>950</v>
      </c>
    </row>
    <row r="5" spans="1:5" x14ac:dyDescent="0.25">
      <c r="A5" t="s">
        <v>255</v>
      </c>
      <c r="B5">
        <v>14701</v>
      </c>
    </row>
    <row r="6" spans="1:5" x14ac:dyDescent="0.25">
      <c r="A6" t="s">
        <v>254</v>
      </c>
      <c r="B6">
        <v>1000</v>
      </c>
    </row>
    <row r="7" spans="1:5" x14ac:dyDescent="0.25">
      <c r="A7" t="s">
        <v>248</v>
      </c>
      <c r="B7">
        <v>6400</v>
      </c>
    </row>
    <row r="8" spans="1:5" x14ac:dyDescent="0.25">
      <c r="A8" t="s">
        <v>256</v>
      </c>
      <c r="B8">
        <v>4000</v>
      </c>
    </row>
    <row r="9" spans="1:5" x14ac:dyDescent="0.25">
      <c r="A9" t="s">
        <v>257</v>
      </c>
      <c r="B9">
        <v>26000</v>
      </c>
    </row>
    <row r="10" spans="1:5" x14ac:dyDescent="0.25">
      <c r="A10" t="s">
        <v>258</v>
      </c>
      <c r="B10">
        <v>13000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7"/>
  <dimension ref="A1:Y134"/>
  <sheetViews>
    <sheetView zoomScale="85" zoomScaleNormal="85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S13" sqref="S13"/>
    </sheetView>
  </sheetViews>
  <sheetFormatPr defaultRowHeight="15" x14ac:dyDescent="0.25"/>
  <cols>
    <col min="1" max="1" width="8.7109375" bestFit="1" customWidth="1"/>
    <col min="2" max="2" width="7.5703125" bestFit="1" customWidth="1"/>
    <col min="3" max="3" width="10.7109375" bestFit="1" customWidth="1"/>
    <col min="4" max="4" width="8.28515625" bestFit="1" customWidth="1"/>
    <col min="5" max="5" width="12.7109375" bestFit="1" customWidth="1"/>
    <col min="6" max="6" width="11.7109375" bestFit="1" customWidth="1"/>
    <col min="7" max="7" width="10.28515625" bestFit="1" customWidth="1"/>
    <col min="8" max="8" width="19.140625" bestFit="1" customWidth="1"/>
    <col min="9" max="9" width="8.7109375" bestFit="1" customWidth="1"/>
    <col min="10" max="10" width="11.28515625" customWidth="1"/>
    <col min="11" max="11" width="20.5703125" bestFit="1" customWidth="1"/>
    <col min="12" max="12" width="18" customWidth="1"/>
    <col min="13" max="13" width="10.28515625" bestFit="1" customWidth="1"/>
    <col min="16" max="16" width="8.7109375" bestFit="1" customWidth="1"/>
    <col min="17" max="17" width="10.28515625" bestFit="1" customWidth="1"/>
    <col min="18" max="18" width="10.7109375" bestFit="1" customWidth="1"/>
    <col min="19" max="19" width="8.7109375" bestFit="1" customWidth="1"/>
    <col min="20" max="20" width="11.7109375" bestFit="1" customWidth="1"/>
    <col min="21" max="22" width="8.7109375" bestFit="1" customWidth="1"/>
    <col min="24" max="24" width="18.140625" bestFit="1" customWidth="1"/>
    <col min="25" max="25" width="12.28515625" bestFit="1" customWidth="1"/>
  </cols>
  <sheetData>
    <row r="1" spans="1:25" ht="15.75" thickBot="1" x14ac:dyDescent="0.3">
      <c r="A1" s="17" t="s">
        <v>352</v>
      </c>
      <c r="B1" s="17"/>
      <c r="C1" s="15">
        <v>2100000</v>
      </c>
      <c r="D1" s="15"/>
      <c r="E1" s="15"/>
      <c r="F1" s="1"/>
      <c r="G1" s="1"/>
      <c r="H1" s="1"/>
      <c r="I1" s="1"/>
      <c r="K1" s="711" t="s">
        <v>1186</v>
      </c>
      <c r="L1" s="712"/>
      <c r="P1" s="17" t="s">
        <v>352</v>
      </c>
      <c r="Q1" s="17"/>
      <c r="R1" s="15">
        <v>765000</v>
      </c>
      <c r="S1" s="15"/>
      <c r="T1" s="15"/>
      <c r="U1" s="1"/>
      <c r="V1" s="1"/>
    </row>
    <row r="2" spans="1:25" x14ac:dyDescent="0.25">
      <c r="A2" s="17"/>
      <c r="B2" s="17"/>
      <c r="C2" s="38" t="s">
        <v>352</v>
      </c>
      <c r="D2" s="38" t="s">
        <v>17</v>
      </c>
      <c r="E2" s="38" t="s">
        <v>499</v>
      </c>
      <c r="F2" s="38" t="s">
        <v>18</v>
      </c>
      <c r="G2" s="38" t="s">
        <v>15</v>
      </c>
      <c r="H2" s="38" t="s">
        <v>1188</v>
      </c>
      <c r="I2" s="38"/>
      <c r="J2" s="134"/>
      <c r="K2" s="137" t="s">
        <v>1190</v>
      </c>
      <c r="L2" s="138">
        <f>SUM(F3:G62)</f>
        <v>2854908</v>
      </c>
      <c r="P2" s="17"/>
      <c r="Q2" s="17"/>
      <c r="R2" s="38" t="s">
        <v>352</v>
      </c>
      <c r="S2" s="38" t="s">
        <v>17</v>
      </c>
      <c r="T2" s="38" t="s">
        <v>499</v>
      </c>
      <c r="U2" s="38" t="s">
        <v>18</v>
      </c>
      <c r="V2" s="38" t="s">
        <v>15</v>
      </c>
      <c r="W2" s="134"/>
      <c r="X2" s="135" t="s">
        <v>1160</v>
      </c>
      <c r="Y2" s="136">
        <f>SUM(U3:V62)</f>
        <v>999160</v>
      </c>
    </row>
    <row r="3" spans="1:25" x14ac:dyDescent="0.25">
      <c r="A3" s="17" t="s">
        <v>1191</v>
      </c>
      <c r="B3" s="28">
        <v>42917</v>
      </c>
      <c r="C3" s="35">
        <v>35025.4</v>
      </c>
      <c r="D3" s="35">
        <f>F3+G3-C3</f>
        <v>19250.599999999999</v>
      </c>
      <c r="E3" s="35">
        <v>2064974.6</v>
      </c>
      <c r="F3" s="35">
        <v>0</v>
      </c>
      <c r="G3" s="35">
        <f>54276-F3</f>
        <v>54276</v>
      </c>
      <c r="H3" s="35"/>
      <c r="I3" s="35"/>
      <c r="J3" s="11"/>
      <c r="K3" s="137" t="s">
        <v>1192</v>
      </c>
      <c r="L3" s="138">
        <f>SUM(F3:F62)</f>
        <v>1881560</v>
      </c>
      <c r="P3" s="122" t="s">
        <v>1191</v>
      </c>
      <c r="Q3" s="123">
        <v>43252</v>
      </c>
      <c r="R3" s="118">
        <v>12186</v>
      </c>
      <c r="S3" s="118">
        <v>4542</v>
      </c>
      <c r="T3" s="118">
        <v>752814</v>
      </c>
      <c r="U3" s="118">
        <v>0</v>
      </c>
      <c r="V3" s="118">
        <f>16728-U3</f>
        <v>16728</v>
      </c>
      <c r="W3" s="11"/>
      <c r="X3" s="137" t="s">
        <v>1192</v>
      </c>
      <c r="Y3" s="138">
        <f>SUM(U3:U62)</f>
        <v>831880</v>
      </c>
    </row>
    <row r="4" spans="1:25" x14ac:dyDescent="0.25">
      <c r="A4" s="17" t="s">
        <v>1193</v>
      </c>
      <c r="B4" s="28">
        <v>42948</v>
      </c>
      <c r="C4" s="35">
        <v>35346.480000000003</v>
      </c>
      <c r="D4" s="35">
        <f>F4+G4-C4</f>
        <v>18929.519999999997</v>
      </c>
      <c r="E4" s="35">
        <f>E3-C4</f>
        <v>2029628.12</v>
      </c>
      <c r="F4" s="35">
        <v>0</v>
      </c>
      <c r="G4" s="35">
        <f t="shared" ref="G4:G13" si="0">54276-F4</f>
        <v>54276</v>
      </c>
      <c r="H4" s="35"/>
      <c r="I4" s="35"/>
      <c r="J4" s="11"/>
      <c r="K4" s="137" t="s">
        <v>1194</v>
      </c>
      <c r="L4" s="138">
        <f>SUM(C3:C62)</f>
        <v>2223433.2900000005</v>
      </c>
      <c r="P4" s="122" t="s">
        <v>1193</v>
      </c>
      <c r="Q4" s="123">
        <v>43282</v>
      </c>
      <c r="R4" s="118">
        <v>9670</v>
      </c>
      <c r="S4" s="118">
        <v>7058</v>
      </c>
      <c r="T4" s="118">
        <f>T3-R4</f>
        <v>743144</v>
      </c>
      <c r="U4" s="118">
        <v>0</v>
      </c>
      <c r="V4" s="118">
        <f t="shared" ref="V4:V61" si="1">16728-U4</f>
        <v>16728</v>
      </c>
      <c r="W4" s="11"/>
      <c r="X4" s="137"/>
      <c r="Y4" s="139"/>
    </row>
    <row r="5" spans="1:25" x14ac:dyDescent="0.25">
      <c r="A5" s="17" t="s">
        <v>1195</v>
      </c>
      <c r="B5" s="28">
        <v>42979</v>
      </c>
      <c r="C5" s="35">
        <v>35670.5</v>
      </c>
      <c r="D5" s="35">
        <f t="shared" ref="D5:D11" si="2">F5+G5-C5</f>
        <v>18605.5</v>
      </c>
      <c r="E5" s="35">
        <f t="shared" ref="E5:E62" si="3">E4-C5</f>
        <v>1993957.62</v>
      </c>
      <c r="F5" s="35">
        <v>0</v>
      </c>
      <c r="G5" s="35">
        <f t="shared" si="0"/>
        <v>54276</v>
      </c>
      <c r="H5" s="35"/>
      <c r="I5" s="35"/>
      <c r="J5" s="11"/>
      <c r="K5" s="137" t="s">
        <v>1196</v>
      </c>
      <c r="L5" s="138">
        <f>L2-L3</f>
        <v>973348</v>
      </c>
      <c r="P5" s="122" t="s">
        <v>1195</v>
      </c>
      <c r="Q5" s="123">
        <v>43313</v>
      </c>
      <c r="R5" s="118">
        <v>9761</v>
      </c>
      <c r="S5" s="118">
        <v>6967</v>
      </c>
      <c r="T5" s="118">
        <f t="shared" ref="T5:T62" si="4">T4-R5</f>
        <v>733383</v>
      </c>
      <c r="U5" s="118">
        <v>0</v>
      </c>
      <c r="V5" s="118">
        <f t="shared" si="1"/>
        <v>16728</v>
      </c>
      <c r="W5" s="11"/>
      <c r="X5" s="137" t="s">
        <v>1196</v>
      </c>
      <c r="Y5" s="138">
        <f>SUM(V3:V62)</f>
        <v>167280</v>
      </c>
    </row>
    <row r="6" spans="1:25" x14ac:dyDescent="0.25">
      <c r="A6" s="17" t="s">
        <v>1197</v>
      </c>
      <c r="B6" s="28">
        <v>43009</v>
      </c>
      <c r="C6" s="35">
        <v>35997.49</v>
      </c>
      <c r="D6" s="35">
        <f t="shared" si="2"/>
        <v>18278.510000000002</v>
      </c>
      <c r="E6" s="35">
        <f t="shared" si="3"/>
        <v>1957960.1300000001</v>
      </c>
      <c r="F6" s="35">
        <v>0</v>
      </c>
      <c r="G6" s="35">
        <f t="shared" si="0"/>
        <v>54276</v>
      </c>
      <c r="H6" s="35"/>
      <c r="I6" s="35"/>
      <c r="J6" s="11"/>
      <c r="K6" s="137" t="s">
        <v>1198</v>
      </c>
      <c r="L6" s="138">
        <f>SUM(D3:D62)</f>
        <v>631474.70999999985</v>
      </c>
      <c r="N6" s="11"/>
      <c r="P6" s="122" t="s">
        <v>1197</v>
      </c>
      <c r="Q6" s="123">
        <v>43344</v>
      </c>
      <c r="R6" s="118">
        <v>9853</v>
      </c>
      <c r="S6" s="118">
        <f t="shared" ref="S6:S11" si="5">U6+V6-R6</f>
        <v>6875</v>
      </c>
      <c r="T6" s="118">
        <f t="shared" si="4"/>
        <v>723530</v>
      </c>
      <c r="U6" s="118">
        <v>0</v>
      </c>
      <c r="V6" s="118">
        <f t="shared" si="1"/>
        <v>16728</v>
      </c>
      <c r="W6" s="11"/>
      <c r="X6" s="137" t="s">
        <v>1198</v>
      </c>
      <c r="Y6" s="138">
        <f>SUM(S3:S62)</f>
        <v>234160</v>
      </c>
    </row>
    <row r="7" spans="1:25" ht="15.75" thickBot="1" x14ac:dyDescent="0.3">
      <c r="A7" s="17" t="s">
        <v>1199</v>
      </c>
      <c r="B7" s="28">
        <v>43040</v>
      </c>
      <c r="C7" s="35">
        <v>36327.480000000003</v>
      </c>
      <c r="D7" s="35">
        <f t="shared" si="2"/>
        <v>17948.519999999997</v>
      </c>
      <c r="E7" s="35">
        <f t="shared" si="3"/>
        <v>1921632.6500000001</v>
      </c>
      <c r="F7" s="35">
        <v>0</v>
      </c>
      <c r="G7" s="35">
        <f t="shared" si="0"/>
        <v>54276</v>
      </c>
      <c r="H7" s="35"/>
      <c r="I7" s="35"/>
      <c r="J7" s="11"/>
      <c r="K7" s="140" t="s">
        <v>1200</v>
      </c>
      <c r="L7" s="145">
        <f>L6/60</f>
        <v>10524.578499999998</v>
      </c>
      <c r="P7" s="122" t="s">
        <v>1199</v>
      </c>
      <c r="Q7" s="123">
        <v>43374</v>
      </c>
      <c r="R7" s="118">
        <v>9945</v>
      </c>
      <c r="S7" s="118">
        <f t="shared" si="5"/>
        <v>6783</v>
      </c>
      <c r="T7" s="118">
        <f t="shared" si="4"/>
        <v>713585</v>
      </c>
      <c r="U7" s="118">
        <v>0</v>
      </c>
      <c r="V7" s="118">
        <f t="shared" si="1"/>
        <v>16728</v>
      </c>
      <c r="W7" s="11"/>
      <c r="X7" s="137" t="s">
        <v>1200</v>
      </c>
      <c r="Y7" s="139">
        <f>Y6/48</f>
        <v>4878.333333333333</v>
      </c>
    </row>
    <row r="8" spans="1:25" ht="15.75" thickBot="1" x14ac:dyDescent="0.3">
      <c r="A8" s="17" t="s">
        <v>1201</v>
      </c>
      <c r="B8" s="28">
        <v>43070</v>
      </c>
      <c r="C8" s="35">
        <v>36660.49</v>
      </c>
      <c r="D8" s="35">
        <f t="shared" si="2"/>
        <v>17615.510000000002</v>
      </c>
      <c r="E8" s="35">
        <f t="shared" si="3"/>
        <v>1884972.1600000001</v>
      </c>
      <c r="F8" s="35">
        <v>0</v>
      </c>
      <c r="G8" s="35">
        <f t="shared" si="0"/>
        <v>54276</v>
      </c>
      <c r="H8" s="35"/>
      <c r="I8" s="35"/>
      <c r="J8" s="11"/>
      <c r="P8" s="122" t="s">
        <v>1201</v>
      </c>
      <c r="Q8" s="123">
        <v>43405</v>
      </c>
      <c r="R8" s="118">
        <v>10038</v>
      </c>
      <c r="S8" s="118">
        <f t="shared" si="5"/>
        <v>6690</v>
      </c>
      <c r="T8" s="118">
        <f t="shared" si="4"/>
        <v>703547</v>
      </c>
      <c r="U8" s="118">
        <v>0</v>
      </c>
      <c r="V8" s="118">
        <f t="shared" si="1"/>
        <v>16728</v>
      </c>
      <c r="W8" s="11"/>
      <c r="X8" s="140" t="s">
        <v>1202</v>
      </c>
      <c r="Y8" s="141">
        <f>Y2-Y6</f>
        <v>765000</v>
      </c>
    </row>
    <row r="9" spans="1:25" x14ac:dyDescent="0.25">
      <c r="A9" s="17" t="s">
        <v>1203</v>
      </c>
      <c r="B9" s="28">
        <v>43101</v>
      </c>
      <c r="C9" s="35">
        <v>36996.550000000003</v>
      </c>
      <c r="D9" s="35">
        <f t="shared" si="2"/>
        <v>17279.449999999997</v>
      </c>
      <c r="E9" s="35">
        <f t="shared" si="3"/>
        <v>1847975.61</v>
      </c>
      <c r="F9" s="35">
        <v>0</v>
      </c>
      <c r="G9" s="35">
        <f t="shared" si="0"/>
        <v>54276</v>
      </c>
      <c r="H9" s="35"/>
      <c r="I9" s="35"/>
      <c r="J9" s="11"/>
      <c r="L9" t="s">
        <v>1204</v>
      </c>
      <c r="P9" s="122" t="s">
        <v>1203</v>
      </c>
      <c r="Q9" s="123">
        <v>43435</v>
      </c>
      <c r="R9" s="118">
        <v>10132</v>
      </c>
      <c r="S9" s="118">
        <f t="shared" si="5"/>
        <v>6596</v>
      </c>
      <c r="T9" s="118">
        <f t="shared" si="4"/>
        <v>693415</v>
      </c>
      <c r="U9" s="118">
        <v>0</v>
      </c>
      <c r="V9" s="118">
        <f t="shared" si="1"/>
        <v>16728</v>
      </c>
      <c r="W9" s="11"/>
    </row>
    <row r="10" spans="1:25" x14ac:dyDescent="0.25">
      <c r="A10" s="17" t="s">
        <v>1205</v>
      </c>
      <c r="B10" s="28">
        <v>43132</v>
      </c>
      <c r="C10" s="35">
        <v>37335.699999999997</v>
      </c>
      <c r="D10" s="35">
        <f t="shared" si="2"/>
        <v>16940.300000000003</v>
      </c>
      <c r="E10" s="35">
        <f t="shared" si="3"/>
        <v>1810639.9100000001</v>
      </c>
      <c r="F10" s="35">
        <v>0</v>
      </c>
      <c r="G10" s="35">
        <f t="shared" si="0"/>
        <v>54276</v>
      </c>
      <c r="H10" s="35"/>
      <c r="I10" s="35"/>
      <c r="J10" s="11"/>
      <c r="K10" s="26" t="s">
        <v>1206</v>
      </c>
      <c r="L10" s="11">
        <f>SUM(D3:D13)</f>
        <v>193602.71000000002</v>
      </c>
      <c r="N10">
        <v>15.25</v>
      </c>
      <c r="P10" s="122" t="s">
        <v>1205</v>
      </c>
      <c r="Q10" s="123">
        <v>43466</v>
      </c>
      <c r="R10" s="118">
        <v>10227</v>
      </c>
      <c r="S10" s="118">
        <f t="shared" si="5"/>
        <v>6501</v>
      </c>
      <c r="T10" s="118">
        <f t="shared" si="4"/>
        <v>683188</v>
      </c>
      <c r="U10" s="118">
        <v>0</v>
      </c>
      <c r="V10" s="118">
        <f t="shared" si="1"/>
        <v>16728</v>
      </c>
      <c r="W10" s="11"/>
    </row>
    <row r="11" spans="1:25" x14ac:dyDescent="0.25">
      <c r="A11" s="17" t="s">
        <v>1207</v>
      </c>
      <c r="B11" s="28">
        <v>43160</v>
      </c>
      <c r="C11" s="35">
        <v>37677.949999999997</v>
      </c>
      <c r="D11" s="35">
        <f t="shared" si="2"/>
        <v>16598.050000000003</v>
      </c>
      <c r="E11" s="35">
        <f t="shared" si="3"/>
        <v>1772961.9600000002</v>
      </c>
      <c r="F11" s="35">
        <v>0</v>
      </c>
      <c r="G11" s="35">
        <f t="shared" si="0"/>
        <v>54276</v>
      </c>
      <c r="H11" s="35"/>
      <c r="I11" s="35"/>
      <c r="J11" s="11"/>
      <c r="L11">
        <f>L10/11</f>
        <v>17600.246363636365</v>
      </c>
      <c r="N11">
        <f>N10/12</f>
        <v>1.2708333333333333</v>
      </c>
      <c r="P11" s="122" t="s">
        <v>1207</v>
      </c>
      <c r="Q11" s="123">
        <v>43497</v>
      </c>
      <c r="R11" s="118">
        <v>10323</v>
      </c>
      <c r="S11" s="118">
        <f t="shared" si="5"/>
        <v>6405</v>
      </c>
      <c r="T11" s="118">
        <f t="shared" si="4"/>
        <v>672865</v>
      </c>
      <c r="U11" s="118">
        <v>0</v>
      </c>
      <c r="V11" s="118">
        <f t="shared" si="1"/>
        <v>16728</v>
      </c>
      <c r="W11" s="11"/>
    </row>
    <row r="12" spans="1:25" x14ac:dyDescent="0.25">
      <c r="A12" s="17" t="s">
        <v>1208</v>
      </c>
      <c r="B12" s="28">
        <v>43191</v>
      </c>
      <c r="C12" s="35">
        <v>38023.35</v>
      </c>
      <c r="D12" s="35">
        <f>F12+G12-C12</f>
        <v>16252.650000000001</v>
      </c>
      <c r="E12" s="35">
        <f t="shared" si="3"/>
        <v>1734938.61</v>
      </c>
      <c r="F12" s="35">
        <v>0</v>
      </c>
      <c r="G12" s="35">
        <f t="shared" si="0"/>
        <v>54276</v>
      </c>
      <c r="H12" s="35"/>
      <c r="I12" s="35"/>
      <c r="J12" s="11"/>
      <c r="N12">
        <f>E14*N11/100</f>
        <v>0</v>
      </c>
      <c r="P12" s="122" t="s">
        <v>1208</v>
      </c>
      <c r="Q12" s="123">
        <v>43525</v>
      </c>
      <c r="R12" s="118">
        <v>10420</v>
      </c>
      <c r="S12" s="118">
        <f>U12+V12-R12</f>
        <v>6308</v>
      </c>
      <c r="T12" s="118">
        <f t="shared" si="4"/>
        <v>662445</v>
      </c>
      <c r="U12" s="118">
        <v>0</v>
      </c>
      <c r="V12" s="118">
        <f t="shared" si="1"/>
        <v>16728</v>
      </c>
      <c r="W12" s="11"/>
    </row>
    <row r="13" spans="1:25" ht="15.75" thickBot="1" x14ac:dyDescent="0.3">
      <c r="A13" s="17" t="s">
        <v>1209</v>
      </c>
      <c r="B13" s="28">
        <v>43221</v>
      </c>
      <c r="C13" s="35">
        <v>38371.9</v>
      </c>
      <c r="D13" s="35">
        <f t="shared" ref="D13:D62" si="6">F13+G13-C13</f>
        <v>15904.099999999999</v>
      </c>
      <c r="E13" s="35">
        <f t="shared" si="3"/>
        <v>1696566.7100000002</v>
      </c>
      <c r="F13" s="35">
        <v>0</v>
      </c>
      <c r="G13" s="35">
        <f t="shared" si="0"/>
        <v>54276</v>
      </c>
      <c r="H13" s="15"/>
      <c r="I13" s="35"/>
      <c r="J13" s="11"/>
      <c r="P13" s="17" t="s">
        <v>1209</v>
      </c>
      <c r="Q13" s="28">
        <v>43556</v>
      </c>
      <c r="R13" s="15">
        <v>10518</v>
      </c>
      <c r="S13" s="15">
        <f t="shared" ref="S13:S61" si="7">U13+V13-R13</f>
        <v>6210</v>
      </c>
      <c r="T13" s="15">
        <f t="shared" si="4"/>
        <v>651927</v>
      </c>
      <c r="U13" s="15">
        <v>16728</v>
      </c>
      <c r="V13" s="15">
        <f t="shared" si="1"/>
        <v>0</v>
      </c>
      <c r="W13" s="11"/>
    </row>
    <row r="14" spans="1:25" x14ac:dyDescent="0.25">
      <c r="A14" s="142" t="s">
        <v>1210</v>
      </c>
      <c r="B14" s="143">
        <v>43252</v>
      </c>
      <c r="C14" s="144">
        <v>0</v>
      </c>
      <c r="D14" s="144">
        <v>0</v>
      </c>
      <c r="E14" s="144">
        <v>0</v>
      </c>
      <c r="F14" s="144">
        <v>0</v>
      </c>
      <c r="G14" s="144">
        <v>0</v>
      </c>
      <c r="H14" s="144">
        <f>(E14*3/100)+(E14*3/100)*18/100</f>
        <v>0</v>
      </c>
      <c r="I14" s="144"/>
      <c r="J14" s="11"/>
      <c r="K14" s="711" t="s">
        <v>1211</v>
      </c>
      <c r="L14" s="712"/>
      <c r="P14" s="17" t="s">
        <v>1210</v>
      </c>
      <c r="Q14" s="28">
        <v>43586</v>
      </c>
      <c r="R14" s="15">
        <v>10616</v>
      </c>
      <c r="S14" s="15">
        <f t="shared" si="7"/>
        <v>6112</v>
      </c>
      <c r="T14" s="15">
        <f t="shared" si="4"/>
        <v>641311</v>
      </c>
      <c r="U14" s="15">
        <v>16728</v>
      </c>
      <c r="V14" s="15">
        <f t="shared" si="1"/>
        <v>0</v>
      </c>
      <c r="W14" s="11"/>
      <c r="X14" s="88" t="s">
        <v>838</v>
      </c>
      <c r="Y14" s="88"/>
    </row>
    <row r="15" spans="1:25" x14ac:dyDescent="0.25">
      <c r="A15" s="17" t="s">
        <v>1191</v>
      </c>
      <c r="B15" s="28">
        <v>43282</v>
      </c>
      <c r="C15" s="35">
        <v>30355.33</v>
      </c>
      <c r="D15" s="35">
        <f t="shared" si="6"/>
        <v>16683.669999999998</v>
      </c>
      <c r="E15" s="35">
        <v>1789644.67</v>
      </c>
      <c r="F15" s="35">
        <v>0</v>
      </c>
      <c r="G15" s="35">
        <f>47039-F15</f>
        <v>47039</v>
      </c>
      <c r="H15" s="35">
        <f t="shared" ref="H15:H62" si="8">(E15*3/100)+(E15*3/100)*18/100</f>
        <v>63353.421318000001</v>
      </c>
      <c r="I15" s="35"/>
      <c r="J15" s="11"/>
      <c r="K15" s="137" t="s">
        <v>1190</v>
      </c>
      <c r="L15" s="138">
        <f>SUM(F15:G75)</f>
        <v>2274812</v>
      </c>
      <c r="P15" s="17" t="s">
        <v>1212</v>
      </c>
      <c r="Q15" s="28">
        <v>43617</v>
      </c>
      <c r="R15" s="15">
        <v>10716</v>
      </c>
      <c r="S15" s="15">
        <f t="shared" si="7"/>
        <v>6012</v>
      </c>
      <c r="T15" s="15">
        <f t="shared" si="4"/>
        <v>630595</v>
      </c>
      <c r="U15" s="15">
        <v>16728</v>
      </c>
      <c r="V15" s="15">
        <f t="shared" si="1"/>
        <v>0</v>
      </c>
      <c r="W15" s="11"/>
      <c r="X15" s="5" t="s">
        <v>840</v>
      </c>
      <c r="Y15" s="5">
        <v>14.75</v>
      </c>
    </row>
    <row r="16" spans="1:25" x14ac:dyDescent="0.25">
      <c r="A16" s="17" t="s">
        <v>1193</v>
      </c>
      <c r="B16" s="28">
        <v>43313</v>
      </c>
      <c r="C16" s="35">
        <v>30633.599999999999</v>
      </c>
      <c r="D16" s="35">
        <f t="shared" si="6"/>
        <v>16405.400000000001</v>
      </c>
      <c r="E16" s="35">
        <f t="shared" si="3"/>
        <v>1759011.0699999998</v>
      </c>
      <c r="F16" s="35">
        <v>0</v>
      </c>
      <c r="G16" s="35">
        <f t="shared" ref="G16:G62" si="9">47039-F16</f>
        <v>47039</v>
      </c>
      <c r="H16" s="35">
        <f t="shared" si="8"/>
        <v>62268.991877999993</v>
      </c>
      <c r="I16" s="35"/>
      <c r="J16" s="11"/>
      <c r="K16" s="137" t="s">
        <v>1192</v>
      </c>
      <c r="L16" s="138">
        <f>SUM(F15:F75)</f>
        <v>1888433.3333333333</v>
      </c>
      <c r="P16" s="17" t="s">
        <v>1213</v>
      </c>
      <c r="Q16" s="28">
        <v>43647</v>
      </c>
      <c r="R16" s="15">
        <v>10816</v>
      </c>
      <c r="S16" s="15">
        <f t="shared" si="7"/>
        <v>5912</v>
      </c>
      <c r="T16" s="15">
        <f t="shared" si="4"/>
        <v>619779</v>
      </c>
      <c r="U16" s="15">
        <v>16728</v>
      </c>
      <c r="V16" s="15">
        <f t="shared" si="1"/>
        <v>0</v>
      </c>
      <c r="W16" s="11"/>
      <c r="X16" s="95" t="s">
        <v>843</v>
      </c>
      <c r="Y16" s="5">
        <f>Y15/12</f>
        <v>1.2291666666666667</v>
      </c>
    </row>
    <row r="17" spans="1:25" x14ac:dyDescent="0.25">
      <c r="A17" s="17" t="s">
        <v>1195</v>
      </c>
      <c r="B17" s="28">
        <v>43344</v>
      </c>
      <c r="C17" s="35">
        <v>30914.41</v>
      </c>
      <c r="D17" s="35">
        <f t="shared" si="6"/>
        <v>16124.59</v>
      </c>
      <c r="E17" s="35">
        <f t="shared" si="3"/>
        <v>1728096.66</v>
      </c>
      <c r="F17" s="35">
        <v>0</v>
      </c>
      <c r="G17" s="35">
        <f t="shared" si="9"/>
        <v>47039</v>
      </c>
      <c r="H17" s="35">
        <f t="shared" si="8"/>
        <v>61174.621763999989</v>
      </c>
      <c r="I17" s="15"/>
      <c r="J17" s="11"/>
      <c r="K17" s="137" t="s">
        <v>1194</v>
      </c>
      <c r="L17" s="138">
        <f>SUM(C15:C75)</f>
        <v>2069999.9999999995</v>
      </c>
      <c r="P17" s="17" t="s">
        <v>1214</v>
      </c>
      <c r="Q17" s="28">
        <v>43678</v>
      </c>
      <c r="R17" s="15">
        <v>10918</v>
      </c>
      <c r="S17" s="15">
        <f t="shared" si="7"/>
        <v>5810</v>
      </c>
      <c r="T17" s="15">
        <f t="shared" si="4"/>
        <v>608861</v>
      </c>
      <c r="U17" s="15">
        <v>16728</v>
      </c>
      <c r="V17" s="15">
        <f t="shared" si="1"/>
        <v>0</v>
      </c>
      <c r="W17" s="11"/>
      <c r="X17" s="95" t="s">
        <v>846</v>
      </c>
      <c r="Y17" s="5">
        <f>Y16/30</f>
        <v>4.0972222222222222E-2</v>
      </c>
    </row>
    <row r="18" spans="1:25" x14ac:dyDescent="0.25">
      <c r="A18" s="17" t="s">
        <v>1197</v>
      </c>
      <c r="B18" s="28">
        <v>43374</v>
      </c>
      <c r="C18" s="35">
        <v>31197.8</v>
      </c>
      <c r="D18" s="35">
        <f t="shared" si="6"/>
        <v>15841.2</v>
      </c>
      <c r="E18" s="35">
        <f t="shared" si="3"/>
        <v>1696898.8599999999</v>
      </c>
      <c r="F18" s="35">
        <v>0</v>
      </c>
      <c r="G18" s="35">
        <f t="shared" si="9"/>
        <v>47039</v>
      </c>
      <c r="H18" s="35">
        <f t="shared" si="8"/>
        <v>60070.219643999997</v>
      </c>
      <c r="I18" s="15"/>
      <c r="J18" s="11"/>
      <c r="K18" s="137" t="s">
        <v>1216</v>
      </c>
      <c r="L18" s="138">
        <f>L15-L16</f>
        <v>386378.66666666674</v>
      </c>
      <c r="P18" s="17" t="s">
        <v>1215</v>
      </c>
      <c r="Q18" s="28">
        <v>43709</v>
      </c>
      <c r="R18" s="15">
        <v>11020</v>
      </c>
      <c r="S18" s="15">
        <f t="shared" si="7"/>
        <v>5708</v>
      </c>
      <c r="T18" s="15">
        <f t="shared" si="4"/>
        <v>597841</v>
      </c>
      <c r="U18" s="15">
        <v>16728</v>
      </c>
      <c r="V18" s="15">
        <f t="shared" si="1"/>
        <v>0</v>
      </c>
      <c r="W18" s="11"/>
      <c r="X18" s="85" t="s">
        <v>352</v>
      </c>
      <c r="Y18" s="5">
        <v>703547</v>
      </c>
    </row>
    <row r="19" spans="1:25" x14ac:dyDescent="0.25">
      <c r="A19" s="17" t="s">
        <v>1199</v>
      </c>
      <c r="B19" s="28">
        <v>43405</v>
      </c>
      <c r="C19" s="35">
        <v>31483.78</v>
      </c>
      <c r="D19" s="35">
        <f t="shared" si="6"/>
        <v>15555.220000000001</v>
      </c>
      <c r="E19" s="35">
        <f t="shared" si="3"/>
        <v>1665415.0799999998</v>
      </c>
      <c r="F19" s="35">
        <v>0</v>
      </c>
      <c r="G19" s="35">
        <f t="shared" si="9"/>
        <v>47039</v>
      </c>
      <c r="H19" s="35">
        <f t="shared" si="8"/>
        <v>58955.69383199999</v>
      </c>
      <c r="I19" s="15"/>
      <c r="J19" s="11"/>
      <c r="K19" s="137" t="s">
        <v>1198</v>
      </c>
      <c r="L19" s="138">
        <f>SUM(D15:D75)</f>
        <v>440872.00000000006</v>
      </c>
      <c r="P19" s="17" t="s">
        <v>1217</v>
      </c>
      <c r="Q19" s="28">
        <v>43739</v>
      </c>
      <c r="R19" s="15">
        <v>11123</v>
      </c>
      <c r="S19" s="15">
        <f t="shared" si="7"/>
        <v>5605</v>
      </c>
      <c r="T19" s="15">
        <f t="shared" si="4"/>
        <v>586718</v>
      </c>
      <c r="U19" s="15">
        <v>16728</v>
      </c>
      <c r="V19" s="15">
        <f t="shared" si="1"/>
        <v>0</v>
      </c>
      <c r="W19" s="11"/>
      <c r="X19" s="85" t="s">
        <v>849</v>
      </c>
      <c r="Y19" s="5">
        <v>30</v>
      </c>
    </row>
    <row r="20" spans="1:25" ht="15.75" thickBot="1" x14ac:dyDescent="0.3">
      <c r="A20" s="17" t="s">
        <v>1201</v>
      </c>
      <c r="B20" s="28">
        <v>43435</v>
      </c>
      <c r="C20" s="35">
        <v>31772.39</v>
      </c>
      <c r="D20" s="35">
        <f t="shared" si="6"/>
        <v>15266.61</v>
      </c>
      <c r="E20" s="35">
        <f t="shared" si="3"/>
        <v>1633642.69</v>
      </c>
      <c r="F20" s="35">
        <v>0</v>
      </c>
      <c r="G20" s="35">
        <f t="shared" si="9"/>
        <v>47039</v>
      </c>
      <c r="H20" s="15">
        <f t="shared" si="8"/>
        <v>57830.951226000005</v>
      </c>
      <c r="I20" s="15"/>
      <c r="J20" s="11"/>
      <c r="K20" s="140" t="s">
        <v>1200</v>
      </c>
      <c r="L20" s="145">
        <f>L19/48</f>
        <v>9184.8333333333339</v>
      </c>
      <c r="P20" s="17" t="s">
        <v>1218</v>
      </c>
      <c r="Q20" s="28">
        <v>43770</v>
      </c>
      <c r="R20" s="15">
        <v>11228</v>
      </c>
      <c r="S20" s="15">
        <f t="shared" si="7"/>
        <v>5500</v>
      </c>
      <c r="T20" s="15">
        <f t="shared" si="4"/>
        <v>575490</v>
      </c>
      <c r="U20" s="15">
        <v>16728</v>
      </c>
      <c r="V20" s="15">
        <f t="shared" si="1"/>
        <v>0</v>
      </c>
      <c r="W20" s="11"/>
      <c r="X20" s="95" t="s">
        <v>17</v>
      </c>
      <c r="Y20" s="5">
        <f>Y19*Y18*Y17/100</f>
        <v>8647.7652083333342</v>
      </c>
    </row>
    <row r="21" spans="1:25" x14ac:dyDescent="0.25">
      <c r="A21" s="17" t="s">
        <v>1203</v>
      </c>
      <c r="B21" s="28">
        <v>43466</v>
      </c>
      <c r="C21" s="35">
        <v>32063.64</v>
      </c>
      <c r="D21" s="35">
        <f t="shared" si="6"/>
        <v>14975.36</v>
      </c>
      <c r="E21" s="35">
        <f t="shared" si="3"/>
        <v>1601579.05</v>
      </c>
      <c r="F21" s="35">
        <v>0</v>
      </c>
      <c r="G21" s="35">
        <f t="shared" si="9"/>
        <v>47039</v>
      </c>
      <c r="H21" s="15">
        <f t="shared" si="8"/>
        <v>56695.898370000003</v>
      </c>
      <c r="I21" s="15"/>
      <c r="J21" s="11"/>
      <c r="P21" s="17" t="s">
        <v>1219</v>
      </c>
      <c r="Q21" s="28">
        <v>43800</v>
      </c>
      <c r="R21" s="15">
        <v>11333</v>
      </c>
      <c r="S21" s="15">
        <f t="shared" si="7"/>
        <v>5395</v>
      </c>
      <c r="T21" s="15">
        <f t="shared" si="4"/>
        <v>564157</v>
      </c>
      <c r="U21" s="15">
        <v>16728</v>
      </c>
      <c r="V21" s="15">
        <f t="shared" si="1"/>
        <v>0</v>
      </c>
      <c r="W21" s="11"/>
    </row>
    <row r="22" spans="1:25" x14ac:dyDescent="0.25">
      <c r="A22" s="17" t="s">
        <v>1205</v>
      </c>
      <c r="B22" s="28">
        <v>43497</v>
      </c>
      <c r="C22" s="35">
        <v>32357.56</v>
      </c>
      <c r="D22" s="35">
        <f t="shared" si="6"/>
        <v>14681.439999999999</v>
      </c>
      <c r="E22" s="35">
        <f t="shared" si="3"/>
        <v>1569221.49</v>
      </c>
      <c r="F22" s="35">
        <v>0</v>
      </c>
      <c r="G22" s="35">
        <f t="shared" si="9"/>
        <v>47039</v>
      </c>
      <c r="H22" s="15">
        <f t="shared" si="8"/>
        <v>55550.440745999993</v>
      </c>
      <c r="I22" s="15"/>
      <c r="J22" s="11"/>
      <c r="P22" s="17" t="s">
        <v>1220</v>
      </c>
      <c r="Q22" s="28">
        <v>43831</v>
      </c>
      <c r="R22" s="15">
        <v>11439</v>
      </c>
      <c r="S22" s="15">
        <f t="shared" si="7"/>
        <v>5289</v>
      </c>
      <c r="T22" s="15">
        <f t="shared" si="4"/>
        <v>552718</v>
      </c>
      <c r="U22" s="15">
        <v>16728</v>
      </c>
      <c r="V22" s="15">
        <f t="shared" si="1"/>
        <v>0</v>
      </c>
      <c r="W22" s="11"/>
    </row>
    <row r="23" spans="1:25" x14ac:dyDescent="0.25">
      <c r="A23" s="17" t="s">
        <v>1207</v>
      </c>
      <c r="B23" s="28">
        <v>43525</v>
      </c>
      <c r="C23" s="15">
        <v>32654.18</v>
      </c>
      <c r="D23" s="15">
        <f t="shared" si="6"/>
        <v>14384.82</v>
      </c>
      <c r="E23" s="15">
        <f t="shared" si="3"/>
        <v>1536567.31</v>
      </c>
      <c r="F23" s="15">
        <v>47039</v>
      </c>
      <c r="G23" s="15">
        <f t="shared" si="9"/>
        <v>0</v>
      </c>
      <c r="H23" s="15">
        <f t="shared" si="8"/>
        <v>54394.482774000004</v>
      </c>
      <c r="I23" s="15"/>
      <c r="J23" s="11"/>
      <c r="K23" s="88" t="s">
        <v>838</v>
      </c>
      <c r="L23" s="88"/>
      <c r="P23" s="17" t="s">
        <v>1221</v>
      </c>
      <c r="Q23" s="28">
        <v>43862</v>
      </c>
      <c r="R23" s="15">
        <v>11546</v>
      </c>
      <c r="S23" s="15">
        <f t="shared" si="7"/>
        <v>5182</v>
      </c>
      <c r="T23" s="15">
        <f t="shared" si="4"/>
        <v>541172</v>
      </c>
      <c r="U23" s="15">
        <v>16728</v>
      </c>
      <c r="V23" s="15">
        <f t="shared" si="1"/>
        <v>0</v>
      </c>
      <c r="W23" s="11"/>
    </row>
    <row r="24" spans="1:25" x14ac:dyDescent="0.25">
      <c r="A24" s="17" t="s">
        <v>1208</v>
      </c>
      <c r="B24" s="28">
        <v>43556</v>
      </c>
      <c r="C24" s="15">
        <v>32953.519999999997</v>
      </c>
      <c r="D24" s="15">
        <f t="shared" si="6"/>
        <v>14085.480000000003</v>
      </c>
      <c r="E24" s="15">
        <f t="shared" si="3"/>
        <v>1503613.79</v>
      </c>
      <c r="F24" s="15">
        <v>47039</v>
      </c>
      <c r="G24" s="15">
        <f t="shared" si="9"/>
        <v>0</v>
      </c>
      <c r="H24" s="15">
        <f t="shared" si="8"/>
        <v>53227.928166000005</v>
      </c>
      <c r="I24" s="15"/>
      <c r="J24" s="11"/>
      <c r="K24" s="5" t="s">
        <v>840</v>
      </c>
      <c r="L24" s="5">
        <v>14.75</v>
      </c>
      <c r="P24" s="17" t="s">
        <v>1222</v>
      </c>
      <c r="Q24" s="28">
        <v>43891</v>
      </c>
      <c r="R24" s="15">
        <v>11655</v>
      </c>
      <c r="S24" s="15">
        <f t="shared" si="7"/>
        <v>5073</v>
      </c>
      <c r="T24" s="15">
        <f t="shared" si="4"/>
        <v>529517</v>
      </c>
      <c r="U24" s="15">
        <v>16728</v>
      </c>
      <c r="V24" s="15">
        <f t="shared" si="1"/>
        <v>0</v>
      </c>
      <c r="W24" s="11"/>
    </row>
    <row r="25" spans="1:25" x14ac:dyDescent="0.25">
      <c r="A25" s="17" t="s">
        <v>1209</v>
      </c>
      <c r="B25" s="28">
        <v>43586</v>
      </c>
      <c r="C25" s="15">
        <v>33255.599999999999</v>
      </c>
      <c r="D25" s="15">
        <f t="shared" si="6"/>
        <v>13783.400000000001</v>
      </c>
      <c r="E25" s="15">
        <f t="shared" si="3"/>
        <v>1470358.19</v>
      </c>
      <c r="F25" s="15">
        <v>47039</v>
      </c>
      <c r="G25" s="15">
        <f t="shared" si="9"/>
        <v>0</v>
      </c>
      <c r="H25" s="15">
        <f t="shared" si="8"/>
        <v>52050.679925999997</v>
      </c>
      <c r="I25" s="15"/>
      <c r="J25" s="11"/>
      <c r="K25" s="95" t="s">
        <v>843</v>
      </c>
      <c r="L25" s="5">
        <f>L24/12</f>
        <v>1.2291666666666667</v>
      </c>
      <c r="P25" s="17" t="s">
        <v>1223</v>
      </c>
      <c r="Q25" s="28">
        <v>43922</v>
      </c>
      <c r="R25" s="15">
        <v>11764</v>
      </c>
      <c r="S25" s="15">
        <f t="shared" si="7"/>
        <v>4964</v>
      </c>
      <c r="T25" s="15">
        <f t="shared" si="4"/>
        <v>517753</v>
      </c>
      <c r="U25" s="15">
        <v>16728</v>
      </c>
      <c r="V25" s="15">
        <f t="shared" si="1"/>
        <v>0</v>
      </c>
      <c r="W25" s="11"/>
    </row>
    <row r="26" spans="1:25" x14ac:dyDescent="0.25">
      <c r="A26" s="17" t="s">
        <v>1210</v>
      </c>
      <c r="B26" s="28">
        <v>43617</v>
      </c>
      <c r="C26" s="15">
        <v>33560.449999999997</v>
      </c>
      <c r="D26" s="15">
        <f t="shared" si="6"/>
        <v>13478.550000000003</v>
      </c>
      <c r="E26" s="15">
        <f t="shared" si="3"/>
        <v>1436797.74</v>
      </c>
      <c r="F26" s="15">
        <v>47039</v>
      </c>
      <c r="G26" s="15">
        <f t="shared" si="9"/>
        <v>0</v>
      </c>
      <c r="H26" s="15">
        <f t="shared" si="8"/>
        <v>50862.639995999998</v>
      </c>
      <c r="I26" s="15"/>
      <c r="J26" s="11"/>
      <c r="K26" s="95" t="s">
        <v>846</v>
      </c>
      <c r="L26" s="5">
        <f>L25/30</f>
        <v>4.0972222222222222E-2</v>
      </c>
      <c r="P26" s="17" t="s">
        <v>1224</v>
      </c>
      <c r="Q26" s="28">
        <v>43952</v>
      </c>
      <c r="R26" s="15">
        <v>11874</v>
      </c>
      <c r="S26" s="15">
        <f t="shared" si="7"/>
        <v>4854</v>
      </c>
      <c r="T26" s="15">
        <f t="shared" si="4"/>
        <v>505879</v>
      </c>
      <c r="U26" s="15">
        <v>16728</v>
      </c>
      <c r="V26" s="15">
        <f t="shared" si="1"/>
        <v>0</v>
      </c>
      <c r="W26" s="11"/>
    </row>
    <row r="27" spans="1:25" x14ac:dyDescent="0.25">
      <c r="A27" s="17" t="s">
        <v>1212</v>
      </c>
      <c r="B27" s="28">
        <v>43647</v>
      </c>
      <c r="C27" s="15">
        <v>33868.089999999997</v>
      </c>
      <c r="D27" s="15">
        <f t="shared" si="6"/>
        <v>13170.910000000003</v>
      </c>
      <c r="E27" s="15">
        <f t="shared" si="3"/>
        <v>1402929.65</v>
      </c>
      <c r="F27" s="15">
        <v>47039</v>
      </c>
      <c r="G27" s="15">
        <f t="shared" si="9"/>
        <v>0</v>
      </c>
      <c r="H27" s="15">
        <f t="shared" si="8"/>
        <v>49663.709609999991</v>
      </c>
      <c r="I27" s="15"/>
      <c r="J27" s="11"/>
      <c r="K27" s="85" t="s">
        <v>352</v>
      </c>
      <c r="L27" s="5">
        <v>765000</v>
      </c>
      <c r="P27" s="17" t="s">
        <v>1225</v>
      </c>
      <c r="Q27" s="28">
        <v>43983</v>
      </c>
      <c r="R27" s="15">
        <v>11985</v>
      </c>
      <c r="S27" s="15">
        <f t="shared" si="7"/>
        <v>4743</v>
      </c>
      <c r="T27" s="15">
        <f t="shared" si="4"/>
        <v>493894</v>
      </c>
      <c r="U27" s="15">
        <v>16728</v>
      </c>
      <c r="V27" s="15">
        <f t="shared" si="1"/>
        <v>0</v>
      </c>
      <c r="W27" s="11"/>
    </row>
    <row r="28" spans="1:25" x14ac:dyDescent="0.25">
      <c r="A28" s="17" t="s">
        <v>1213</v>
      </c>
      <c r="B28" s="28">
        <v>43678</v>
      </c>
      <c r="C28" s="15">
        <v>34178.550000000003</v>
      </c>
      <c r="D28" s="15">
        <f t="shared" si="6"/>
        <v>12860.449999999997</v>
      </c>
      <c r="E28" s="15">
        <f t="shared" si="3"/>
        <v>1368751.0999999999</v>
      </c>
      <c r="F28" s="15">
        <v>47039</v>
      </c>
      <c r="G28" s="15">
        <f t="shared" si="9"/>
        <v>0</v>
      </c>
      <c r="H28" s="15">
        <f t="shared" si="8"/>
        <v>48453.788939999999</v>
      </c>
      <c r="I28" s="15"/>
      <c r="J28" s="11"/>
      <c r="K28" s="85" t="s">
        <v>849</v>
      </c>
      <c r="L28" s="5">
        <v>30</v>
      </c>
      <c r="P28" s="17" t="s">
        <v>1226</v>
      </c>
      <c r="Q28" s="28">
        <v>44013</v>
      </c>
      <c r="R28" s="15">
        <v>12098</v>
      </c>
      <c r="S28" s="15">
        <f t="shared" si="7"/>
        <v>4630</v>
      </c>
      <c r="T28" s="15">
        <f t="shared" si="4"/>
        <v>481796</v>
      </c>
      <c r="U28" s="15">
        <v>16728</v>
      </c>
      <c r="V28" s="15">
        <f t="shared" si="1"/>
        <v>0</v>
      </c>
      <c r="W28" s="11"/>
    </row>
    <row r="29" spans="1:25" x14ac:dyDescent="0.25">
      <c r="A29" s="17" t="s">
        <v>1214</v>
      </c>
      <c r="B29" s="28">
        <v>43709</v>
      </c>
      <c r="C29" s="15">
        <v>34491.86</v>
      </c>
      <c r="D29" s="15">
        <f t="shared" si="6"/>
        <v>12547.14</v>
      </c>
      <c r="E29" s="15">
        <f t="shared" si="3"/>
        <v>1334259.2399999998</v>
      </c>
      <c r="F29" s="15">
        <v>47039</v>
      </c>
      <c r="G29" s="15">
        <f t="shared" si="9"/>
        <v>0</v>
      </c>
      <c r="H29" s="15">
        <f t="shared" si="8"/>
        <v>47232.777095999991</v>
      </c>
      <c r="I29" s="15"/>
      <c r="J29" s="11"/>
      <c r="K29" s="95" t="s">
        <v>17</v>
      </c>
      <c r="L29" s="5">
        <f>L28*L27*L26/100</f>
        <v>9403.125</v>
      </c>
      <c r="P29" s="17" t="s">
        <v>1227</v>
      </c>
      <c r="Q29" s="28">
        <v>44044</v>
      </c>
      <c r="R29" s="15">
        <v>12211</v>
      </c>
      <c r="S29" s="15">
        <f t="shared" si="7"/>
        <v>4517</v>
      </c>
      <c r="T29" s="15">
        <f t="shared" si="4"/>
        <v>469585</v>
      </c>
      <c r="U29" s="15">
        <v>16728</v>
      </c>
      <c r="V29" s="15">
        <f t="shared" si="1"/>
        <v>0</v>
      </c>
      <c r="W29" s="11"/>
    </row>
    <row r="30" spans="1:25" x14ac:dyDescent="0.25">
      <c r="A30" s="17" t="s">
        <v>1215</v>
      </c>
      <c r="B30" s="28">
        <v>43739</v>
      </c>
      <c r="C30" s="15">
        <v>34808.050000000003</v>
      </c>
      <c r="D30" s="15">
        <f t="shared" si="6"/>
        <v>12230.949999999997</v>
      </c>
      <c r="E30" s="15">
        <f t="shared" si="3"/>
        <v>1299451.1899999997</v>
      </c>
      <c r="F30" s="15">
        <v>47039</v>
      </c>
      <c r="G30" s="15">
        <f t="shared" si="9"/>
        <v>0</v>
      </c>
      <c r="H30" s="15">
        <f t="shared" si="8"/>
        <v>46000.572125999992</v>
      </c>
      <c r="I30" s="15"/>
      <c r="J30" s="11"/>
      <c r="P30" s="17" t="s">
        <v>1228</v>
      </c>
      <c r="Q30" s="28">
        <v>44075</v>
      </c>
      <c r="R30" s="15">
        <v>12326</v>
      </c>
      <c r="S30" s="15">
        <f t="shared" si="7"/>
        <v>4402</v>
      </c>
      <c r="T30" s="15">
        <f t="shared" si="4"/>
        <v>457259</v>
      </c>
      <c r="U30" s="15">
        <v>16728</v>
      </c>
      <c r="V30" s="15">
        <f t="shared" si="1"/>
        <v>0</v>
      </c>
      <c r="W30" s="11"/>
    </row>
    <row r="31" spans="1:25" x14ac:dyDescent="0.25">
      <c r="A31" s="17" t="s">
        <v>1217</v>
      </c>
      <c r="B31" s="28">
        <v>43770</v>
      </c>
      <c r="C31" s="15">
        <v>35127.129999999997</v>
      </c>
      <c r="D31" s="15">
        <f t="shared" si="6"/>
        <v>11911.870000000003</v>
      </c>
      <c r="E31" s="15">
        <f t="shared" si="3"/>
        <v>1264324.0599999998</v>
      </c>
      <c r="F31" s="15">
        <v>47039</v>
      </c>
      <c r="G31" s="15">
        <f t="shared" si="9"/>
        <v>0</v>
      </c>
      <c r="H31" s="15">
        <f t="shared" si="8"/>
        <v>44757.071724000001</v>
      </c>
      <c r="I31" s="15"/>
      <c r="J31" s="11"/>
      <c r="P31" s="17" t="s">
        <v>1229</v>
      </c>
      <c r="Q31" s="28">
        <v>44105</v>
      </c>
      <c r="R31" s="15">
        <v>12441</v>
      </c>
      <c r="S31" s="15">
        <f t="shared" si="7"/>
        <v>4287</v>
      </c>
      <c r="T31" s="15">
        <f t="shared" si="4"/>
        <v>444818</v>
      </c>
      <c r="U31" s="15">
        <v>16728</v>
      </c>
      <c r="V31" s="15">
        <f t="shared" si="1"/>
        <v>0</v>
      </c>
      <c r="W31" s="11"/>
    </row>
    <row r="32" spans="1:25" x14ac:dyDescent="0.25">
      <c r="A32" s="17" t="s">
        <v>1218</v>
      </c>
      <c r="B32" s="28">
        <v>43800</v>
      </c>
      <c r="C32" s="15">
        <v>35449.129999999997</v>
      </c>
      <c r="D32" s="15">
        <f t="shared" si="6"/>
        <v>11589.870000000003</v>
      </c>
      <c r="E32" s="15">
        <f t="shared" si="3"/>
        <v>1228874.93</v>
      </c>
      <c r="F32" s="15">
        <v>47039</v>
      </c>
      <c r="G32" s="15">
        <f t="shared" si="9"/>
        <v>0</v>
      </c>
      <c r="H32" s="15">
        <f t="shared" si="8"/>
        <v>43502.172522000001</v>
      </c>
      <c r="I32" s="15"/>
      <c r="J32" s="11"/>
      <c r="P32" s="17" t="s">
        <v>1230</v>
      </c>
      <c r="Q32" s="28">
        <v>44136</v>
      </c>
      <c r="R32" s="15">
        <v>12558</v>
      </c>
      <c r="S32" s="15">
        <f t="shared" si="7"/>
        <v>4170</v>
      </c>
      <c r="T32" s="15">
        <f t="shared" si="4"/>
        <v>432260</v>
      </c>
      <c r="U32" s="15">
        <v>16728</v>
      </c>
      <c r="V32" s="15">
        <f t="shared" si="1"/>
        <v>0</v>
      </c>
      <c r="W32" s="11"/>
    </row>
    <row r="33" spans="1:23" x14ac:dyDescent="0.25">
      <c r="A33" s="17" t="s">
        <v>1219</v>
      </c>
      <c r="B33" s="28">
        <v>43831</v>
      </c>
      <c r="C33" s="15">
        <v>35774.089999999997</v>
      </c>
      <c r="D33" s="15">
        <f t="shared" si="6"/>
        <v>11264.910000000003</v>
      </c>
      <c r="E33" s="15">
        <f t="shared" si="3"/>
        <v>1193100.8399999999</v>
      </c>
      <c r="F33" s="15">
        <v>47039</v>
      </c>
      <c r="G33" s="15">
        <f t="shared" si="9"/>
        <v>0</v>
      </c>
      <c r="H33" s="15">
        <f t="shared" si="8"/>
        <v>42235.769735999995</v>
      </c>
      <c r="I33" s="15"/>
      <c r="J33" s="11"/>
      <c r="P33" s="17" t="s">
        <v>1231</v>
      </c>
      <c r="Q33" s="28">
        <v>44166</v>
      </c>
      <c r="R33" s="15">
        <v>12676</v>
      </c>
      <c r="S33" s="15">
        <f t="shared" si="7"/>
        <v>4052</v>
      </c>
      <c r="T33" s="15">
        <f t="shared" si="4"/>
        <v>419584</v>
      </c>
      <c r="U33" s="15">
        <v>16728</v>
      </c>
      <c r="V33" s="15">
        <f t="shared" si="1"/>
        <v>0</v>
      </c>
      <c r="W33" s="11"/>
    </row>
    <row r="34" spans="1:23" x14ac:dyDescent="0.25">
      <c r="A34" s="17" t="s">
        <v>1220</v>
      </c>
      <c r="B34" s="28">
        <v>43862</v>
      </c>
      <c r="C34" s="15">
        <v>36102.019999999997</v>
      </c>
      <c r="D34" s="15">
        <f t="shared" si="6"/>
        <v>10936.980000000003</v>
      </c>
      <c r="E34" s="15">
        <f t="shared" si="3"/>
        <v>1156998.8199999998</v>
      </c>
      <c r="F34" s="15">
        <v>47039</v>
      </c>
      <c r="G34" s="15">
        <f t="shared" si="9"/>
        <v>0</v>
      </c>
      <c r="H34" s="15">
        <f t="shared" si="8"/>
        <v>40957.758227999992</v>
      </c>
      <c r="I34" s="15"/>
      <c r="J34" s="11"/>
      <c r="K34">
        <v>1820000</v>
      </c>
      <c r="L34">
        <v>1569221.49</v>
      </c>
      <c r="P34" s="17" t="s">
        <v>1232</v>
      </c>
      <c r="Q34" s="28">
        <v>44197</v>
      </c>
      <c r="R34" s="15">
        <v>12794</v>
      </c>
      <c r="S34" s="15">
        <f t="shared" si="7"/>
        <v>3934</v>
      </c>
      <c r="T34" s="15">
        <f t="shared" si="4"/>
        <v>406790</v>
      </c>
      <c r="U34" s="15">
        <v>16728</v>
      </c>
      <c r="V34" s="15">
        <f t="shared" si="1"/>
        <v>0</v>
      </c>
      <c r="W34" s="11"/>
    </row>
    <row r="35" spans="1:23" x14ac:dyDescent="0.25">
      <c r="A35" s="17" t="s">
        <v>1221</v>
      </c>
      <c r="B35" s="28">
        <v>43891</v>
      </c>
      <c r="C35" s="15">
        <v>36432.97</v>
      </c>
      <c r="D35" s="15">
        <f t="shared" si="6"/>
        <v>10606.029999999999</v>
      </c>
      <c r="E35" s="15">
        <f t="shared" si="3"/>
        <v>1120565.8499999999</v>
      </c>
      <c r="F35" s="15">
        <v>47039</v>
      </c>
      <c r="G35" s="15">
        <f t="shared" si="9"/>
        <v>0</v>
      </c>
      <c r="H35" s="15">
        <f t="shared" si="8"/>
        <v>39668.031090000004</v>
      </c>
      <c r="I35" s="15"/>
      <c r="J35" s="11"/>
      <c r="K35">
        <v>-1536567.31</v>
      </c>
      <c r="L35">
        <v>-1800000</v>
      </c>
      <c r="P35" s="17" t="s">
        <v>1233</v>
      </c>
      <c r="Q35" s="28">
        <v>44228</v>
      </c>
      <c r="R35" s="15">
        <v>12914</v>
      </c>
      <c r="S35" s="15">
        <f t="shared" si="7"/>
        <v>3814</v>
      </c>
      <c r="T35" s="15">
        <f t="shared" si="4"/>
        <v>393876</v>
      </c>
      <c r="U35" s="15">
        <v>16728</v>
      </c>
      <c r="V35" s="15">
        <f t="shared" si="1"/>
        <v>0</v>
      </c>
      <c r="W35" s="11"/>
    </row>
    <row r="36" spans="1:23" x14ac:dyDescent="0.25">
      <c r="A36" s="17" t="s">
        <v>1222</v>
      </c>
      <c r="B36" s="28">
        <v>43922</v>
      </c>
      <c r="C36" s="15">
        <v>36766.94</v>
      </c>
      <c r="D36" s="15">
        <f t="shared" si="6"/>
        <v>10272.059999999998</v>
      </c>
      <c r="E36" s="15">
        <f t="shared" si="3"/>
        <v>1083798.9099999999</v>
      </c>
      <c r="F36" s="15">
        <v>47039</v>
      </c>
      <c r="G36" s="15">
        <f t="shared" si="9"/>
        <v>0</v>
      </c>
      <c r="H36" s="15">
        <f t="shared" si="8"/>
        <v>38366.481413999994</v>
      </c>
      <c r="I36" s="15"/>
      <c r="J36" s="11"/>
      <c r="L36">
        <v>226401</v>
      </c>
      <c r="M36">
        <f>L36*1/100</f>
        <v>2264.0100000000002</v>
      </c>
      <c r="P36" s="17" t="s">
        <v>1234</v>
      </c>
      <c r="Q36" s="28">
        <v>44256</v>
      </c>
      <c r="R36" s="15">
        <v>13035</v>
      </c>
      <c r="S36" s="15">
        <f t="shared" si="7"/>
        <v>3693</v>
      </c>
      <c r="T36" s="15">
        <f t="shared" si="4"/>
        <v>380841</v>
      </c>
      <c r="U36" s="15">
        <v>16728</v>
      </c>
      <c r="V36" s="15">
        <f t="shared" si="1"/>
        <v>0</v>
      </c>
      <c r="W36" s="11"/>
    </row>
    <row r="37" spans="1:23" x14ac:dyDescent="0.25">
      <c r="A37" s="17" t="s">
        <v>1223</v>
      </c>
      <c r="B37" s="28">
        <v>43952</v>
      </c>
      <c r="C37" s="15">
        <v>37103.980000000003</v>
      </c>
      <c r="D37" s="15">
        <f t="shared" si="6"/>
        <v>9935.0199999999968</v>
      </c>
      <c r="E37" s="15">
        <f t="shared" si="3"/>
        <v>1046694.9299999999</v>
      </c>
      <c r="F37" s="15">
        <v>47039</v>
      </c>
      <c r="G37" s="15">
        <f t="shared" si="9"/>
        <v>0</v>
      </c>
      <c r="H37" s="15">
        <f t="shared" si="8"/>
        <v>37053.000522000002</v>
      </c>
      <c r="I37" s="15"/>
      <c r="J37" s="11"/>
      <c r="M37">
        <v>200</v>
      </c>
      <c r="P37" s="17" t="s">
        <v>1235</v>
      </c>
      <c r="Q37" s="28">
        <v>44287</v>
      </c>
      <c r="R37" s="15">
        <v>13158</v>
      </c>
      <c r="S37" s="15">
        <f t="shared" si="7"/>
        <v>3570</v>
      </c>
      <c r="T37" s="15">
        <f t="shared" si="4"/>
        <v>367683</v>
      </c>
      <c r="U37" s="15">
        <v>16728</v>
      </c>
      <c r="V37" s="15">
        <f t="shared" si="1"/>
        <v>0</v>
      </c>
      <c r="W37" s="11"/>
    </row>
    <row r="38" spans="1:23" x14ac:dyDescent="0.25">
      <c r="A38" s="17" t="s">
        <v>1224</v>
      </c>
      <c r="B38" s="28">
        <v>43983</v>
      </c>
      <c r="C38" s="15">
        <v>37444.1</v>
      </c>
      <c r="D38" s="15">
        <f t="shared" si="6"/>
        <v>9594.9000000000015</v>
      </c>
      <c r="E38" s="15">
        <f t="shared" si="3"/>
        <v>1009250.83</v>
      </c>
      <c r="F38" s="15">
        <v>47039</v>
      </c>
      <c r="G38" s="15">
        <f t="shared" si="9"/>
        <v>0</v>
      </c>
      <c r="H38" s="15">
        <f t="shared" si="8"/>
        <v>35727.479381999998</v>
      </c>
      <c r="I38" s="15"/>
      <c r="J38" s="11"/>
      <c r="P38" s="17" t="s">
        <v>1236</v>
      </c>
      <c r="Q38" s="28">
        <v>44317</v>
      </c>
      <c r="R38" s="15">
        <v>13281</v>
      </c>
      <c r="S38" s="15">
        <f t="shared" si="7"/>
        <v>3447</v>
      </c>
      <c r="T38" s="15">
        <f t="shared" si="4"/>
        <v>354402</v>
      </c>
      <c r="U38" s="15">
        <v>16728</v>
      </c>
      <c r="V38" s="15">
        <f t="shared" si="1"/>
        <v>0</v>
      </c>
      <c r="W38" s="11"/>
    </row>
    <row r="39" spans="1:23" x14ac:dyDescent="0.25">
      <c r="A39" s="17" t="s">
        <v>1225</v>
      </c>
      <c r="B39" s="28">
        <v>44013</v>
      </c>
      <c r="C39" s="15">
        <v>37787.35</v>
      </c>
      <c r="D39" s="15">
        <f t="shared" si="6"/>
        <v>9251.6500000000015</v>
      </c>
      <c r="E39" s="15">
        <f t="shared" si="3"/>
        <v>971463.48</v>
      </c>
      <c r="F39" s="15">
        <v>47039</v>
      </c>
      <c r="G39" s="15">
        <f t="shared" si="9"/>
        <v>0</v>
      </c>
      <c r="H39" s="15">
        <f t="shared" si="8"/>
        <v>34389.807192</v>
      </c>
      <c r="I39" s="15"/>
      <c r="J39" s="11"/>
      <c r="P39" s="17" t="s">
        <v>1237</v>
      </c>
      <c r="Q39" s="28">
        <v>44348</v>
      </c>
      <c r="R39" s="15">
        <v>13405</v>
      </c>
      <c r="S39" s="15">
        <f t="shared" si="7"/>
        <v>3323</v>
      </c>
      <c r="T39" s="15">
        <f t="shared" si="4"/>
        <v>340997</v>
      </c>
      <c r="U39" s="15">
        <v>16728</v>
      </c>
      <c r="V39" s="15">
        <f t="shared" si="1"/>
        <v>0</v>
      </c>
      <c r="W39" s="11"/>
    </row>
    <row r="40" spans="1:23" x14ac:dyDescent="0.25">
      <c r="A40" s="17" t="s">
        <v>1226</v>
      </c>
      <c r="B40" s="28">
        <v>44044</v>
      </c>
      <c r="C40" s="15">
        <v>38133.74</v>
      </c>
      <c r="D40" s="15">
        <f t="shared" si="6"/>
        <v>8905.260000000002</v>
      </c>
      <c r="E40" s="15">
        <f t="shared" si="3"/>
        <v>933329.74</v>
      </c>
      <c r="F40" s="15">
        <v>47039</v>
      </c>
      <c r="G40" s="15">
        <f t="shared" si="9"/>
        <v>0</v>
      </c>
      <c r="H40" s="15">
        <f t="shared" si="8"/>
        <v>33039.872795999996</v>
      </c>
      <c r="I40" s="15"/>
      <c r="J40" s="11"/>
      <c r="P40" s="17" t="s">
        <v>1238</v>
      </c>
      <c r="Q40" s="28">
        <v>44378</v>
      </c>
      <c r="R40" s="15">
        <v>13531</v>
      </c>
      <c r="S40" s="15">
        <f t="shared" si="7"/>
        <v>3197</v>
      </c>
      <c r="T40" s="15">
        <f t="shared" si="4"/>
        <v>327466</v>
      </c>
      <c r="U40" s="15">
        <v>16728</v>
      </c>
      <c r="V40" s="15">
        <f t="shared" si="1"/>
        <v>0</v>
      </c>
      <c r="W40" s="11"/>
    </row>
    <row r="41" spans="1:23" x14ac:dyDescent="0.25">
      <c r="A41" s="17" t="s">
        <v>1227</v>
      </c>
      <c r="B41" s="28">
        <v>44075</v>
      </c>
      <c r="C41" s="15">
        <v>38483.31</v>
      </c>
      <c r="D41" s="15">
        <f t="shared" si="6"/>
        <v>8555.6900000000023</v>
      </c>
      <c r="E41" s="15">
        <f t="shared" si="3"/>
        <v>894846.42999999993</v>
      </c>
      <c r="F41" s="15">
        <v>47039</v>
      </c>
      <c r="G41" s="15">
        <f t="shared" si="9"/>
        <v>0</v>
      </c>
      <c r="H41" s="15">
        <f t="shared" si="8"/>
        <v>31677.563621999998</v>
      </c>
      <c r="I41" s="15"/>
      <c r="J41" s="11"/>
      <c r="P41" s="17" t="s">
        <v>1239</v>
      </c>
      <c r="Q41" s="28">
        <v>44409</v>
      </c>
      <c r="R41" s="15">
        <v>13658</v>
      </c>
      <c r="S41" s="15">
        <f t="shared" si="7"/>
        <v>3070</v>
      </c>
      <c r="T41" s="15">
        <f t="shared" si="4"/>
        <v>313808</v>
      </c>
      <c r="U41" s="15">
        <v>16728</v>
      </c>
      <c r="V41" s="15">
        <f t="shared" si="1"/>
        <v>0</v>
      </c>
      <c r="W41" s="11"/>
    </row>
    <row r="42" spans="1:23" x14ac:dyDescent="0.25">
      <c r="A42" s="17" t="s">
        <v>1228</v>
      </c>
      <c r="B42" s="28">
        <v>44105</v>
      </c>
      <c r="C42" s="15">
        <v>38836.080000000002</v>
      </c>
      <c r="D42" s="15">
        <f t="shared" si="6"/>
        <v>8202.9199999999983</v>
      </c>
      <c r="E42" s="15">
        <f t="shared" si="3"/>
        <v>856010.35</v>
      </c>
      <c r="F42" s="15">
        <v>47039</v>
      </c>
      <c r="G42" s="15">
        <f t="shared" si="9"/>
        <v>0</v>
      </c>
      <c r="H42" s="15">
        <f t="shared" si="8"/>
        <v>30302.766390000001</v>
      </c>
      <c r="I42" s="15"/>
      <c r="J42" s="11"/>
      <c r="P42" s="17" t="s">
        <v>1240</v>
      </c>
      <c r="Q42" s="28">
        <v>44440</v>
      </c>
      <c r="R42" s="15">
        <v>13786</v>
      </c>
      <c r="S42" s="15">
        <f t="shared" si="7"/>
        <v>2942</v>
      </c>
      <c r="T42" s="15">
        <f t="shared" si="4"/>
        <v>300022</v>
      </c>
      <c r="U42" s="15">
        <v>16728</v>
      </c>
      <c r="V42" s="15">
        <f t="shared" si="1"/>
        <v>0</v>
      </c>
      <c r="W42" s="11"/>
    </row>
    <row r="43" spans="1:23" x14ac:dyDescent="0.25">
      <c r="A43" s="17" t="s">
        <v>1229</v>
      </c>
      <c r="B43" s="28">
        <v>44136</v>
      </c>
      <c r="C43" s="15">
        <v>39192.080000000002</v>
      </c>
      <c r="D43" s="15">
        <f t="shared" si="6"/>
        <v>7846.9199999999983</v>
      </c>
      <c r="E43" s="15">
        <f t="shared" si="3"/>
        <v>816818.27</v>
      </c>
      <c r="F43" s="15">
        <v>47039</v>
      </c>
      <c r="G43" s="15">
        <f t="shared" si="9"/>
        <v>0</v>
      </c>
      <c r="H43" s="15">
        <f t="shared" si="8"/>
        <v>28915.366758</v>
      </c>
      <c r="I43" s="15"/>
      <c r="J43" s="11"/>
      <c r="P43" s="17" t="s">
        <v>1241</v>
      </c>
      <c r="Q43" s="28">
        <v>44470</v>
      </c>
      <c r="R43" s="15">
        <v>13915</v>
      </c>
      <c r="S43" s="15">
        <f t="shared" si="7"/>
        <v>2813</v>
      </c>
      <c r="T43" s="15">
        <f t="shared" si="4"/>
        <v>286107</v>
      </c>
      <c r="U43" s="15">
        <v>16728</v>
      </c>
      <c r="V43" s="15">
        <f t="shared" si="1"/>
        <v>0</v>
      </c>
      <c r="W43" s="11"/>
    </row>
    <row r="44" spans="1:23" x14ac:dyDescent="0.25">
      <c r="A44" s="17" t="s">
        <v>1230</v>
      </c>
      <c r="B44" s="28">
        <v>44166</v>
      </c>
      <c r="C44" s="15">
        <v>39551.35</v>
      </c>
      <c r="D44" s="15">
        <f t="shared" si="6"/>
        <v>7487.6500000000015</v>
      </c>
      <c r="E44" s="15">
        <f t="shared" si="3"/>
        <v>777266.92</v>
      </c>
      <c r="F44" s="15">
        <v>47039</v>
      </c>
      <c r="G44" s="15">
        <f t="shared" si="9"/>
        <v>0</v>
      </c>
      <c r="H44" s="15">
        <f t="shared" si="8"/>
        <v>27515.248968</v>
      </c>
      <c r="I44" s="15"/>
      <c r="J44" s="11"/>
      <c r="K44">
        <v>1696566.71</v>
      </c>
      <c r="P44" s="17" t="s">
        <v>1242</v>
      </c>
      <c r="Q44" s="28">
        <v>44501</v>
      </c>
      <c r="R44" s="15">
        <v>14046</v>
      </c>
      <c r="S44" s="15">
        <f t="shared" si="7"/>
        <v>2682</v>
      </c>
      <c r="T44" s="15">
        <f t="shared" si="4"/>
        <v>272061</v>
      </c>
      <c r="U44" s="15">
        <v>16728</v>
      </c>
      <c r="V44" s="15">
        <f t="shared" si="1"/>
        <v>0</v>
      </c>
      <c r="W44" s="11"/>
    </row>
    <row r="45" spans="1:23" x14ac:dyDescent="0.25">
      <c r="A45" s="17" t="s">
        <v>1231</v>
      </c>
      <c r="B45" s="28">
        <v>44197</v>
      </c>
      <c r="C45" s="15">
        <v>39913.910000000003</v>
      </c>
      <c r="D45" s="15">
        <f t="shared" si="6"/>
        <v>7125.0899999999965</v>
      </c>
      <c r="E45" s="15">
        <f t="shared" si="3"/>
        <v>737353.01</v>
      </c>
      <c r="F45" s="15">
        <v>47039</v>
      </c>
      <c r="G45" s="15">
        <f t="shared" si="9"/>
        <v>0</v>
      </c>
      <c r="H45" s="15">
        <f t="shared" si="8"/>
        <v>26102.296554000004</v>
      </c>
      <c r="I45" s="15"/>
      <c r="J45" s="11"/>
      <c r="K45">
        <f>K44*10.99/1200</f>
        <v>15537.723452416667</v>
      </c>
      <c r="P45" s="17" t="s">
        <v>1243</v>
      </c>
      <c r="Q45" s="28">
        <v>44531</v>
      </c>
      <c r="R45" s="15">
        <v>14177</v>
      </c>
      <c r="S45" s="15">
        <f t="shared" si="7"/>
        <v>2551</v>
      </c>
      <c r="T45" s="15">
        <f t="shared" si="4"/>
        <v>257884</v>
      </c>
      <c r="U45" s="15">
        <v>16728</v>
      </c>
      <c r="V45" s="15">
        <f t="shared" si="1"/>
        <v>0</v>
      </c>
      <c r="W45" s="11"/>
    </row>
    <row r="46" spans="1:23" x14ac:dyDescent="0.25">
      <c r="A46" s="17" t="s">
        <v>1232</v>
      </c>
      <c r="B46" s="28">
        <v>44228</v>
      </c>
      <c r="C46" s="15">
        <v>40279.800000000003</v>
      </c>
      <c r="D46" s="15">
        <f t="shared" si="6"/>
        <v>6759.1999999999971</v>
      </c>
      <c r="E46" s="15">
        <f t="shared" si="3"/>
        <v>697073.21</v>
      </c>
      <c r="F46" s="15">
        <v>47039</v>
      </c>
      <c r="G46" s="15">
        <f t="shared" si="9"/>
        <v>0</v>
      </c>
      <c r="H46" s="15">
        <f t="shared" si="8"/>
        <v>24676.391634</v>
      </c>
      <c r="I46" s="15"/>
      <c r="J46" s="11"/>
      <c r="L46">
        <v>1820000</v>
      </c>
      <c r="P46" s="17" t="s">
        <v>1244</v>
      </c>
      <c r="Q46" s="28">
        <v>44562</v>
      </c>
      <c r="R46" s="15">
        <v>14310</v>
      </c>
      <c r="S46" s="15">
        <f t="shared" si="7"/>
        <v>2418</v>
      </c>
      <c r="T46" s="15">
        <f t="shared" si="4"/>
        <v>243574</v>
      </c>
      <c r="U46" s="15">
        <v>16728</v>
      </c>
      <c r="V46" s="15">
        <f t="shared" si="1"/>
        <v>0</v>
      </c>
      <c r="W46" s="11"/>
    </row>
    <row r="47" spans="1:23" x14ac:dyDescent="0.25">
      <c r="A47" s="17" t="s">
        <v>1233</v>
      </c>
      <c r="B47" s="28">
        <v>44256</v>
      </c>
      <c r="C47" s="15">
        <v>40649.03</v>
      </c>
      <c r="D47" s="15">
        <f t="shared" si="6"/>
        <v>6389.9700000000012</v>
      </c>
      <c r="E47" s="15">
        <f t="shared" si="3"/>
        <v>656424.17999999993</v>
      </c>
      <c r="F47" s="15">
        <v>47039</v>
      </c>
      <c r="G47" s="15">
        <f t="shared" si="9"/>
        <v>0</v>
      </c>
      <c r="H47" s="15">
        <f t="shared" si="8"/>
        <v>23237.415971999999</v>
      </c>
      <c r="I47" s="15"/>
      <c r="J47" s="11"/>
      <c r="L47">
        <v>-105522</v>
      </c>
      <c r="P47" s="17" t="s">
        <v>1245</v>
      </c>
      <c r="Q47" s="28">
        <v>44593</v>
      </c>
      <c r="R47" s="15">
        <v>14444</v>
      </c>
      <c r="S47" s="15">
        <f t="shared" si="7"/>
        <v>2284</v>
      </c>
      <c r="T47" s="15">
        <f t="shared" si="4"/>
        <v>229130</v>
      </c>
      <c r="U47" s="15">
        <v>16728</v>
      </c>
      <c r="V47" s="15">
        <f t="shared" si="1"/>
        <v>0</v>
      </c>
      <c r="W47" s="11"/>
    </row>
    <row r="48" spans="1:23" x14ac:dyDescent="0.25">
      <c r="A48" s="17" t="s">
        <v>1234</v>
      </c>
      <c r="B48" s="28">
        <v>44287</v>
      </c>
      <c r="C48" s="15">
        <v>41021.660000000003</v>
      </c>
      <c r="D48" s="15">
        <f t="shared" si="6"/>
        <v>6017.3399999999965</v>
      </c>
      <c r="E48" s="15">
        <f t="shared" si="3"/>
        <v>615402.5199999999</v>
      </c>
      <c r="F48" s="15">
        <v>47039</v>
      </c>
      <c r="G48" s="15">
        <f t="shared" si="9"/>
        <v>0</v>
      </c>
      <c r="H48" s="15">
        <f t="shared" si="8"/>
        <v>21785.249207999994</v>
      </c>
      <c r="I48" s="15"/>
      <c r="J48" s="11"/>
      <c r="P48" s="17" t="s">
        <v>1246</v>
      </c>
      <c r="Q48" s="28">
        <v>44621</v>
      </c>
      <c r="R48" s="15">
        <v>14580</v>
      </c>
      <c r="S48" s="15">
        <f t="shared" si="7"/>
        <v>2148</v>
      </c>
      <c r="T48" s="15">
        <f t="shared" si="4"/>
        <v>214550</v>
      </c>
      <c r="U48" s="15">
        <v>16728</v>
      </c>
      <c r="V48" s="15">
        <f t="shared" si="1"/>
        <v>0</v>
      </c>
      <c r="W48" s="11"/>
    </row>
    <row r="49" spans="1:23" x14ac:dyDescent="0.25">
      <c r="A49" s="17" t="s">
        <v>1235</v>
      </c>
      <c r="B49" s="28">
        <v>44317</v>
      </c>
      <c r="C49" s="15">
        <v>41397.699999999997</v>
      </c>
      <c r="D49" s="15">
        <f t="shared" si="6"/>
        <v>5641.3000000000029</v>
      </c>
      <c r="E49" s="15">
        <f t="shared" si="3"/>
        <v>574004.81999999995</v>
      </c>
      <c r="F49" s="15">
        <v>47039</v>
      </c>
      <c r="G49" s="15">
        <f t="shared" si="9"/>
        <v>0</v>
      </c>
      <c r="H49" s="15">
        <f t="shared" si="8"/>
        <v>20319.770627999998</v>
      </c>
      <c r="I49" s="15"/>
      <c r="J49" s="11"/>
      <c r="L49">
        <v>-54276</v>
      </c>
      <c r="P49" s="17" t="s">
        <v>1247</v>
      </c>
      <c r="Q49" s="28">
        <v>44652</v>
      </c>
      <c r="R49" s="15">
        <v>14717</v>
      </c>
      <c r="S49" s="15">
        <f t="shared" si="7"/>
        <v>2011</v>
      </c>
      <c r="T49" s="15">
        <f t="shared" si="4"/>
        <v>199833</v>
      </c>
      <c r="U49" s="15">
        <v>16728</v>
      </c>
      <c r="V49" s="15">
        <f t="shared" si="1"/>
        <v>0</v>
      </c>
      <c r="W49" s="11"/>
    </row>
    <row r="50" spans="1:23" x14ac:dyDescent="0.25">
      <c r="A50" s="17" t="s">
        <v>1236</v>
      </c>
      <c r="B50" s="28">
        <v>44348</v>
      </c>
      <c r="C50" s="15">
        <v>41777.18</v>
      </c>
      <c r="D50" s="15">
        <f t="shared" si="6"/>
        <v>5261.82</v>
      </c>
      <c r="E50" s="15">
        <f t="shared" si="3"/>
        <v>532227.6399999999</v>
      </c>
      <c r="F50" s="15">
        <v>47039</v>
      </c>
      <c r="G50" s="15">
        <f t="shared" si="9"/>
        <v>0</v>
      </c>
      <c r="H50" s="15">
        <f t="shared" si="8"/>
        <v>18840.858455999994</v>
      </c>
      <c r="I50" s="15"/>
      <c r="J50" s="11"/>
      <c r="L50">
        <v>46522</v>
      </c>
      <c r="P50" s="17" t="s">
        <v>1248</v>
      </c>
      <c r="Q50" s="28">
        <v>44682</v>
      </c>
      <c r="R50" s="15">
        <v>14855</v>
      </c>
      <c r="S50" s="15">
        <f t="shared" si="7"/>
        <v>1873</v>
      </c>
      <c r="T50" s="15">
        <f t="shared" si="4"/>
        <v>184978</v>
      </c>
      <c r="U50" s="15">
        <v>16728</v>
      </c>
      <c r="V50" s="15">
        <f t="shared" si="1"/>
        <v>0</v>
      </c>
      <c r="W50" s="11"/>
    </row>
    <row r="51" spans="1:23" x14ac:dyDescent="0.25">
      <c r="A51" s="17" t="s">
        <v>1237</v>
      </c>
      <c r="B51" s="28">
        <v>44378</v>
      </c>
      <c r="C51" s="15">
        <v>42160.15</v>
      </c>
      <c r="D51" s="15">
        <f t="shared" si="6"/>
        <v>4878.8499999999985</v>
      </c>
      <c r="E51" s="15">
        <f t="shared" si="3"/>
        <v>490067.48999999987</v>
      </c>
      <c r="F51" s="15">
        <v>47039</v>
      </c>
      <c r="G51" s="15">
        <f t="shared" si="9"/>
        <v>0</v>
      </c>
      <c r="H51" s="15">
        <f t="shared" si="8"/>
        <v>17348.389145999998</v>
      </c>
      <c r="I51" s="15"/>
      <c r="P51" s="17" t="s">
        <v>1249</v>
      </c>
      <c r="Q51" s="28">
        <v>44713</v>
      </c>
      <c r="R51" s="15">
        <v>14994</v>
      </c>
      <c r="S51" s="15">
        <f t="shared" si="7"/>
        <v>1734</v>
      </c>
      <c r="T51" s="15">
        <f t="shared" si="4"/>
        <v>169984</v>
      </c>
      <c r="U51" s="15">
        <v>16728</v>
      </c>
      <c r="V51" s="15">
        <f t="shared" si="1"/>
        <v>0</v>
      </c>
    </row>
    <row r="52" spans="1:23" x14ac:dyDescent="0.25">
      <c r="A52" s="17" t="s">
        <v>1238</v>
      </c>
      <c r="B52" s="28">
        <v>44409</v>
      </c>
      <c r="C52" s="15">
        <v>42546.62</v>
      </c>
      <c r="D52" s="15">
        <f t="shared" si="6"/>
        <v>4492.3799999999974</v>
      </c>
      <c r="E52" s="15">
        <f t="shared" si="3"/>
        <v>447520.86999999988</v>
      </c>
      <c r="F52" s="15">
        <v>47039</v>
      </c>
      <c r="G52" s="15">
        <f t="shared" si="9"/>
        <v>0</v>
      </c>
      <c r="H52" s="15">
        <f t="shared" si="8"/>
        <v>15842.238797999995</v>
      </c>
      <c r="I52" s="15"/>
      <c r="P52" s="17" t="s">
        <v>1250</v>
      </c>
      <c r="Q52" s="28">
        <v>44743</v>
      </c>
      <c r="R52" s="15">
        <v>15134</v>
      </c>
      <c r="S52" s="15">
        <f t="shared" si="7"/>
        <v>1594</v>
      </c>
      <c r="T52" s="15">
        <f t="shared" si="4"/>
        <v>154850</v>
      </c>
      <c r="U52" s="15">
        <v>16728</v>
      </c>
      <c r="V52" s="15">
        <f t="shared" si="1"/>
        <v>0</v>
      </c>
    </row>
    <row r="53" spans="1:23" x14ac:dyDescent="0.25">
      <c r="A53" s="17" t="s">
        <v>1239</v>
      </c>
      <c r="B53" s="28">
        <v>44440</v>
      </c>
      <c r="C53" s="15">
        <v>42936.639999999999</v>
      </c>
      <c r="D53" s="15">
        <f t="shared" si="6"/>
        <v>4102.3600000000006</v>
      </c>
      <c r="E53" s="15">
        <f t="shared" si="3"/>
        <v>404584.22999999986</v>
      </c>
      <c r="F53" s="15">
        <v>47039</v>
      </c>
      <c r="G53" s="15">
        <f t="shared" si="9"/>
        <v>0</v>
      </c>
      <c r="H53" s="15">
        <f t="shared" si="8"/>
        <v>14322.281741999996</v>
      </c>
      <c r="I53" s="15"/>
      <c r="P53" s="17" t="s">
        <v>1251</v>
      </c>
      <c r="Q53" s="28">
        <v>44774</v>
      </c>
      <c r="R53" s="15">
        <v>15276</v>
      </c>
      <c r="S53" s="15">
        <f t="shared" si="7"/>
        <v>1452</v>
      </c>
      <c r="T53" s="15">
        <f t="shared" si="4"/>
        <v>139574</v>
      </c>
      <c r="U53" s="15">
        <v>16728</v>
      </c>
      <c r="V53" s="15">
        <f t="shared" si="1"/>
        <v>0</v>
      </c>
    </row>
    <row r="54" spans="1:23" x14ac:dyDescent="0.25">
      <c r="A54" s="17" t="s">
        <v>1240</v>
      </c>
      <c r="B54" s="28">
        <v>44470</v>
      </c>
      <c r="C54" s="15">
        <v>43330.239999999998</v>
      </c>
      <c r="D54" s="15">
        <f t="shared" si="6"/>
        <v>3708.760000000002</v>
      </c>
      <c r="E54" s="15">
        <f t="shared" si="3"/>
        <v>361253.98999999987</v>
      </c>
      <c r="F54" s="15">
        <v>47039</v>
      </c>
      <c r="G54" s="15">
        <f t="shared" si="9"/>
        <v>0</v>
      </c>
      <c r="H54" s="15">
        <f t="shared" si="8"/>
        <v>12788.391245999997</v>
      </c>
      <c r="I54" s="15"/>
      <c r="P54" s="17" t="s">
        <v>1252</v>
      </c>
      <c r="Q54" s="28">
        <v>44805</v>
      </c>
      <c r="R54" s="15">
        <v>15419</v>
      </c>
      <c r="S54" s="15">
        <f t="shared" si="7"/>
        <v>1309</v>
      </c>
      <c r="T54" s="15">
        <f t="shared" si="4"/>
        <v>124155</v>
      </c>
      <c r="U54" s="15">
        <v>16728</v>
      </c>
      <c r="V54" s="15">
        <f t="shared" si="1"/>
        <v>0</v>
      </c>
    </row>
    <row r="55" spans="1:23" x14ac:dyDescent="0.25">
      <c r="A55" s="17" t="s">
        <v>1241</v>
      </c>
      <c r="B55" s="28">
        <v>44501</v>
      </c>
      <c r="C55" s="15">
        <v>43727.44</v>
      </c>
      <c r="D55" s="15">
        <f t="shared" si="6"/>
        <v>3311.5599999999977</v>
      </c>
      <c r="E55" s="15">
        <f t="shared" si="3"/>
        <v>317526.54999999987</v>
      </c>
      <c r="F55" s="15">
        <v>47039</v>
      </c>
      <c r="G55" s="15">
        <f t="shared" si="9"/>
        <v>0</v>
      </c>
      <c r="H55" s="15">
        <f t="shared" si="8"/>
        <v>11240.439869999997</v>
      </c>
      <c r="I55" s="15"/>
      <c r="P55" s="17" t="s">
        <v>1253</v>
      </c>
      <c r="Q55" s="28">
        <v>44835</v>
      </c>
      <c r="R55" s="15">
        <v>15564</v>
      </c>
      <c r="S55" s="15">
        <f t="shared" si="7"/>
        <v>1164</v>
      </c>
      <c r="T55" s="15">
        <f t="shared" si="4"/>
        <v>108591</v>
      </c>
      <c r="U55" s="15">
        <v>16728</v>
      </c>
      <c r="V55" s="15">
        <f t="shared" si="1"/>
        <v>0</v>
      </c>
    </row>
    <row r="56" spans="1:23" x14ac:dyDescent="0.25">
      <c r="A56" s="17" t="s">
        <v>1242</v>
      </c>
      <c r="B56" s="28">
        <v>44531</v>
      </c>
      <c r="C56" s="15">
        <v>44128.28</v>
      </c>
      <c r="D56" s="15">
        <f t="shared" si="6"/>
        <v>2910.7200000000012</v>
      </c>
      <c r="E56" s="15">
        <f t="shared" si="3"/>
        <v>273398.2699999999</v>
      </c>
      <c r="F56" s="15">
        <v>47039</v>
      </c>
      <c r="G56" s="15">
        <f t="shared" si="9"/>
        <v>0</v>
      </c>
      <c r="H56" s="15">
        <f t="shared" si="8"/>
        <v>9678.2987579999972</v>
      </c>
      <c r="I56" s="15"/>
      <c r="P56" s="17" t="s">
        <v>1254</v>
      </c>
      <c r="Q56" s="28">
        <v>44866</v>
      </c>
      <c r="R56" s="15">
        <v>15710</v>
      </c>
      <c r="S56" s="15">
        <f t="shared" si="7"/>
        <v>1018</v>
      </c>
      <c r="T56" s="15">
        <f t="shared" si="4"/>
        <v>92881</v>
      </c>
      <c r="U56" s="15">
        <v>16728</v>
      </c>
      <c r="V56" s="15">
        <f t="shared" si="1"/>
        <v>0</v>
      </c>
    </row>
    <row r="57" spans="1:23" x14ac:dyDescent="0.25">
      <c r="A57" s="17" t="s">
        <v>1243</v>
      </c>
      <c r="B57" s="28">
        <v>44562</v>
      </c>
      <c r="C57" s="15">
        <v>44532.800000000003</v>
      </c>
      <c r="D57" s="15">
        <f t="shared" si="6"/>
        <v>2506.1999999999971</v>
      </c>
      <c r="E57" s="15">
        <f t="shared" si="3"/>
        <v>228865.46999999991</v>
      </c>
      <c r="F57" s="15">
        <v>47039</v>
      </c>
      <c r="G57" s="15">
        <f t="shared" si="9"/>
        <v>0</v>
      </c>
      <c r="H57" s="15">
        <f t="shared" si="8"/>
        <v>8101.8376379999954</v>
      </c>
      <c r="I57" s="15"/>
      <c r="P57" s="17" t="s">
        <v>1255</v>
      </c>
      <c r="Q57" s="28">
        <v>44896</v>
      </c>
      <c r="R57" s="15">
        <v>15857</v>
      </c>
      <c r="S57" s="15">
        <f t="shared" si="7"/>
        <v>871</v>
      </c>
      <c r="T57" s="15">
        <f t="shared" si="4"/>
        <v>77024</v>
      </c>
      <c r="U57" s="15">
        <v>16728</v>
      </c>
      <c r="V57" s="15">
        <f t="shared" si="1"/>
        <v>0</v>
      </c>
    </row>
    <row r="58" spans="1:23" x14ac:dyDescent="0.25">
      <c r="A58" s="17" t="s">
        <v>1244</v>
      </c>
      <c r="B58" s="28">
        <v>44593</v>
      </c>
      <c r="C58" s="15">
        <v>44941.02</v>
      </c>
      <c r="D58" s="15">
        <f t="shared" si="6"/>
        <v>2097.9800000000032</v>
      </c>
      <c r="E58" s="15">
        <f t="shared" si="3"/>
        <v>183924.44999999992</v>
      </c>
      <c r="F58" s="15">
        <v>47039</v>
      </c>
      <c r="G58" s="15">
        <f t="shared" si="9"/>
        <v>0</v>
      </c>
      <c r="H58" s="15">
        <f t="shared" si="8"/>
        <v>6510.9255299999968</v>
      </c>
      <c r="I58" s="15"/>
      <c r="P58" s="17" t="s">
        <v>1256</v>
      </c>
      <c r="Q58" s="28">
        <v>44927</v>
      </c>
      <c r="R58" s="15">
        <v>16006</v>
      </c>
      <c r="S58" s="15">
        <f t="shared" si="7"/>
        <v>722</v>
      </c>
      <c r="T58" s="15">
        <f t="shared" si="4"/>
        <v>61018</v>
      </c>
      <c r="U58" s="15">
        <v>16728</v>
      </c>
      <c r="V58" s="15">
        <f t="shared" si="1"/>
        <v>0</v>
      </c>
    </row>
    <row r="59" spans="1:23" x14ac:dyDescent="0.25">
      <c r="A59" s="17" t="s">
        <v>1245</v>
      </c>
      <c r="B59" s="28">
        <v>44621</v>
      </c>
      <c r="C59" s="15">
        <v>45352.99</v>
      </c>
      <c r="D59" s="15">
        <f t="shared" si="6"/>
        <v>1686.010000000002</v>
      </c>
      <c r="E59" s="15">
        <f t="shared" si="3"/>
        <v>138571.45999999993</v>
      </c>
      <c r="F59" s="15">
        <v>47039</v>
      </c>
      <c r="G59" s="15">
        <f t="shared" si="9"/>
        <v>0</v>
      </c>
      <c r="H59" s="15">
        <f t="shared" si="8"/>
        <v>4905.4296839999979</v>
      </c>
      <c r="I59" s="15"/>
      <c r="P59" s="17" t="s">
        <v>1257</v>
      </c>
      <c r="Q59" s="28">
        <v>44958</v>
      </c>
      <c r="R59" s="15">
        <v>16156</v>
      </c>
      <c r="S59" s="15">
        <f t="shared" si="7"/>
        <v>572</v>
      </c>
      <c r="T59" s="15">
        <f t="shared" si="4"/>
        <v>44862</v>
      </c>
      <c r="U59" s="15">
        <v>16728</v>
      </c>
      <c r="V59" s="15">
        <f t="shared" si="1"/>
        <v>0</v>
      </c>
    </row>
    <row r="60" spans="1:23" x14ac:dyDescent="0.25">
      <c r="A60" s="17" t="s">
        <v>1246</v>
      </c>
      <c r="B60" s="28">
        <v>44652</v>
      </c>
      <c r="C60" s="15">
        <v>45768.74</v>
      </c>
      <c r="D60" s="15">
        <f t="shared" si="6"/>
        <v>1270.260000000002</v>
      </c>
      <c r="E60" s="15">
        <f t="shared" si="3"/>
        <v>92802.719999999943</v>
      </c>
      <c r="F60" s="15">
        <v>47039</v>
      </c>
      <c r="G60" s="15">
        <f t="shared" si="9"/>
        <v>0</v>
      </c>
      <c r="H60" s="15">
        <f t="shared" si="8"/>
        <v>3285.2162879999978</v>
      </c>
      <c r="I60" s="15"/>
      <c r="P60" s="17" t="s">
        <v>1258</v>
      </c>
      <c r="Q60" s="28">
        <v>44986</v>
      </c>
      <c r="R60" s="15">
        <v>16307</v>
      </c>
      <c r="S60" s="15">
        <f t="shared" si="7"/>
        <v>421</v>
      </c>
      <c r="T60" s="15">
        <f t="shared" si="4"/>
        <v>28555</v>
      </c>
      <c r="U60" s="15">
        <v>16728</v>
      </c>
      <c r="V60" s="15">
        <f t="shared" si="1"/>
        <v>0</v>
      </c>
    </row>
    <row r="61" spans="1:23" x14ac:dyDescent="0.25">
      <c r="A61" s="17" t="s">
        <v>1247</v>
      </c>
      <c r="B61" s="28">
        <v>44682</v>
      </c>
      <c r="C61" s="15">
        <v>46188.29</v>
      </c>
      <c r="D61" s="15">
        <f t="shared" si="6"/>
        <v>850.70999999999913</v>
      </c>
      <c r="E61" s="15">
        <f t="shared" si="3"/>
        <v>46614.429999999942</v>
      </c>
      <c r="F61" s="15">
        <v>47039</v>
      </c>
      <c r="G61" s="15">
        <f t="shared" si="9"/>
        <v>0</v>
      </c>
      <c r="H61" s="15">
        <f t="shared" si="8"/>
        <v>1650.1508219999982</v>
      </c>
      <c r="I61" s="15"/>
      <c r="P61" s="17" t="s">
        <v>1259</v>
      </c>
      <c r="Q61" s="28">
        <v>45017</v>
      </c>
      <c r="R61" s="15">
        <v>16460</v>
      </c>
      <c r="S61" s="15">
        <f t="shared" si="7"/>
        <v>268</v>
      </c>
      <c r="T61" s="15">
        <f t="shared" si="4"/>
        <v>12095</v>
      </c>
      <c r="U61" s="15">
        <v>16728</v>
      </c>
      <c r="V61" s="15">
        <f t="shared" si="1"/>
        <v>0</v>
      </c>
    </row>
    <row r="62" spans="1:23" x14ac:dyDescent="0.25">
      <c r="A62" s="17" t="s">
        <v>1248</v>
      </c>
      <c r="B62" s="28">
        <v>44713</v>
      </c>
      <c r="C62" s="15">
        <v>46614.43</v>
      </c>
      <c r="D62" s="15">
        <f t="shared" si="6"/>
        <v>424.56999999999971</v>
      </c>
      <c r="E62" s="15">
        <f t="shared" si="3"/>
        <v>-5.8207660913467407E-11</v>
      </c>
      <c r="F62" s="15">
        <v>47039</v>
      </c>
      <c r="G62" s="15">
        <f t="shared" si="9"/>
        <v>0</v>
      </c>
      <c r="H62" s="15">
        <f t="shared" si="8"/>
        <v>-2.0605511963367463E-12</v>
      </c>
      <c r="I62" s="15"/>
      <c r="P62" s="17" t="s">
        <v>1260</v>
      </c>
      <c r="Q62" s="28">
        <v>45047</v>
      </c>
      <c r="R62" s="15">
        <v>12095</v>
      </c>
      <c r="S62" s="15">
        <v>113</v>
      </c>
      <c r="T62" s="15">
        <f t="shared" si="4"/>
        <v>0</v>
      </c>
      <c r="U62" s="15">
        <v>12208</v>
      </c>
      <c r="V62" s="15">
        <f>12208-U62</f>
        <v>0</v>
      </c>
    </row>
    <row r="68" spans="1:17" x14ac:dyDescent="0.25">
      <c r="K68" s="1"/>
      <c r="L68" s="1" t="s">
        <v>352</v>
      </c>
      <c r="M68" s="1" t="s">
        <v>17</v>
      </c>
      <c r="N68" s="1" t="s">
        <v>554</v>
      </c>
    </row>
    <row r="69" spans="1:17" x14ac:dyDescent="0.25">
      <c r="K69" s="1" t="s">
        <v>1261</v>
      </c>
      <c r="L69" s="120">
        <v>1657844</v>
      </c>
      <c r="M69" s="120">
        <v>296080.7</v>
      </c>
      <c r="N69" s="120">
        <v>3</v>
      </c>
      <c r="O69" s="24"/>
    </row>
    <row r="70" spans="1:17" x14ac:dyDescent="0.25">
      <c r="E70">
        <v>240000</v>
      </c>
      <c r="F70">
        <f>E70*16/1200</f>
        <v>3200</v>
      </c>
      <c r="G70">
        <f>E70/48</f>
        <v>5000</v>
      </c>
      <c r="H70">
        <v>8200</v>
      </c>
      <c r="K70" s="1" t="s">
        <v>1262</v>
      </c>
      <c r="L70" s="120">
        <v>1820000</v>
      </c>
      <c r="M70" s="120">
        <v>433053.2</v>
      </c>
      <c r="N70" s="120">
        <v>4</v>
      </c>
      <c r="O70" s="24"/>
      <c r="Q70" s="119">
        <f>L70-L69</f>
        <v>162156</v>
      </c>
    </row>
    <row r="71" spans="1:17" x14ac:dyDescent="0.25">
      <c r="E71">
        <v>235000</v>
      </c>
      <c r="F71">
        <f>E71*16/1200</f>
        <v>3133.3333333333335</v>
      </c>
      <c r="G71">
        <f>H71-F71</f>
        <v>5066.6666666666661</v>
      </c>
      <c r="H71">
        <v>8200</v>
      </c>
      <c r="K71" s="1"/>
      <c r="L71" s="120">
        <v>142156</v>
      </c>
      <c r="M71" s="120">
        <v>34200.6</v>
      </c>
      <c r="N71" s="120">
        <v>4</v>
      </c>
      <c r="O71" s="24"/>
      <c r="P71">
        <f>L71*1.5/100</f>
        <v>2132.34</v>
      </c>
    </row>
    <row r="72" spans="1:17" x14ac:dyDescent="0.25">
      <c r="K72" s="1"/>
      <c r="L72" s="120">
        <v>1657844</v>
      </c>
      <c r="M72" s="120">
        <v>398852.5</v>
      </c>
      <c r="N72" s="120">
        <v>4</v>
      </c>
      <c r="O72" s="24"/>
    </row>
    <row r="73" spans="1:17" x14ac:dyDescent="0.25">
      <c r="A73" s="17" t="s">
        <v>352</v>
      </c>
      <c r="B73" s="17"/>
      <c r="C73" s="15">
        <v>250000</v>
      </c>
      <c r="D73" s="15"/>
      <c r="E73" s="15"/>
      <c r="F73" s="1"/>
      <c r="G73" s="1"/>
      <c r="H73" s="1"/>
      <c r="K73" s="1"/>
      <c r="L73" s="120"/>
      <c r="M73" s="120"/>
      <c r="N73" s="120"/>
      <c r="O73" s="24"/>
    </row>
    <row r="74" spans="1:17" x14ac:dyDescent="0.25">
      <c r="A74" s="17"/>
      <c r="B74" s="17"/>
      <c r="C74" s="38" t="s">
        <v>352</v>
      </c>
      <c r="D74" s="38" t="s">
        <v>17</v>
      </c>
      <c r="E74" s="38" t="s">
        <v>499</v>
      </c>
      <c r="F74" s="38" t="s">
        <v>254</v>
      </c>
      <c r="G74" s="38" t="s">
        <v>18</v>
      </c>
      <c r="H74" s="38" t="s">
        <v>15</v>
      </c>
      <c r="K74" s="1"/>
      <c r="L74" s="120"/>
      <c r="M74" s="120"/>
      <c r="N74" s="120"/>
      <c r="O74" s="24"/>
    </row>
    <row r="75" spans="1:17" x14ac:dyDescent="0.25">
      <c r="A75" s="17" t="s">
        <v>1266</v>
      </c>
      <c r="B75" s="28">
        <v>43466</v>
      </c>
      <c r="C75" s="15">
        <v>0</v>
      </c>
      <c r="D75" s="15">
        <v>3000</v>
      </c>
      <c r="E75" s="15">
        <v>250000</v>
      </c>
      <c r="F75" s="15">
        <f>D75*18/100</f>
        <v>540</v>
      </c>
      <c r="G75" s="15">
        <v>0</v>
      </c>
      <c r="H75" s="15"/>
      <c r="K75" s="1"/>
      <c r="L75" s="120"/>
      <c r="M75" s="120"/>
      <c r="N75" s="120"/>
    </row>
    <row r="76" spans="1:17" x14ac:dyDescent="0.25">
      <c r="A76" s="17" t="s">
        <v>1191</v>
      </c>
      <c r="B76" s="28">
        <v>43497</v>
      </c>
      <c r="C76" s="15">
        <v>5455.93</v>
      </c>
      <c r="D76" s="15">
        <f>8789-C76</f>
        <v>3333.0699999999997</v>
      </c>
      <c r="E76" s="15">
        <f t="shared" ref="E76:E111" si="10">E75-C76</f>
        <v>244544.07</v>
      </c>
      <c r="F76" s="15">
        <f>D76*18/100</f>
        <v>599.95259999999996</v>
      </c>
      <c r="G76" s="15">
        <f>C76+D76+F76</f>
        <v>9388.9526000000005</v>
      </c>
      <c r="H76" s="15">
        <f>8789-G76</f>
        <v>-599.95260000000053</v>
      </c>
      <c r="K76" s="1"/>
      <c r="L76" s="120"/>
      <c r="M76" s="120"/>
      <c r="N76" s="120"/>
    </row>
    <row r="77" spans="1:17" x14ac:dyDescent="0.25">
      <c r="A77" s="17" t="s">
        <v>1193</v>
      </c>
      <c r="B77" s="28">
        <v>43525</v>
      </c>
      <c r="C77" s="15">
        <v>5528.67</v>
      </c>
      <c r="D77" s="15">
        <f t="shared" ref="D77:D111" si="11">8789-C77</f>
        <v>3260.33</v>
      </c>
      <c r="E77" s="15">
        <f t="shared" si="10"/>
        <v>239015.4</v>
      </c>
      <c r="F77" s="15">
        <f t="shared" ref="F77:F111" si="12">D77*18/100</f>
        <v>586.85940000000005</v>
      </c>
      <c r="G77" s="15">
        <f t="shared" ref="G77:G111" si="13">C77+D77+F77</f>
        <v>9375.8593999999994</v>
      </c>
      <c r="H77" s="15">
        <f t="shared" ref="H77:H111" si="14">8789-G77</f>
        <v>-586.85939999999937</v>
      </c>
      <c r="K77" s="1"/>
      <c r="L77" s="120"/>
      <c r="M77" s="120"/>
      <c r="N77" s="120"/>
    </row>
    <row r="78" spans="1:17" x14ac:dyDescent="0.25">
      <c r="A78" s="17" t="s">
        <v>1195</v>
      </c>
      <c r="B78" s="28">
        <v>43556</v>
      </c>
      <c r="C78" s="15">
        <v>5602.39</v>
      </c>
      <c r="D78" s="15">
        <f t="shared" si="11"/>
        <v>3186.6099999999997</v>
      </c>
      <c r="E78" s="15">
        <f t="shared" si="10"/>
        <v>233413.00999999998</v>
      </c>
      <c r="F78" s="15">
        <f t="shared" si="12"/>
        <v>573.58979999999997</v>
      </c>
      <c r="G78" s="15">
        <f t="shared" si="13"/>
        <v>9362.5897999999997</v>
      </c>
      <c r="H78" s="15">
        <f t="shared" si="14"/>
        <v>-573.58979999999974</v>
      </c>
    </row>
    <row r="79" spans="1:17" x14ac:dyDescent="0.25">
      <c r="A79" s="17" t="s">
        <v>1197</v>
      </c>
      <c r="B79" s="28">
        <v>43586</v>
      </c>
      <c r="C79" s="15">
        <v>5677.09</v>
      </c>
      <c r="D79" s="15">
        <f t="shared" si="11"/>
        <v>3111.91</v>
      </c>
      <c r="E79" s="15">
        <f t="shared" si="10"/>
        <v>227735.91999999998</v>
      </c>
      <c r="F79" s="15">
        <f t="shared" si="12"/>
        <v>560.14379999999994</v>
      </c>
      <c r="G79" s="15">
        <f t="shared" si="13"/>
        <v>9349.1437999999998</v>
      </c>
      <c r="H79" s="15">
        <f t="shared" si="14"/>
        <v>-560.14379999999983</v>
      </c>
    </row>
    <row r="80" spans="1:17" x14ac:dyDescent="0.25">
      <c r="A80" s="17" t="s">
        <v>1199</v>
      </c>
      <c r="B80" s="28">
        <v>43617</v>
      </c>
      <c r="C80" s="15">
        <v>5752.78</v>
      </c>
      <c r="D80" s="15">
        <f t="shared" si="11"/>
        <v>3036.2200000000003</v>
      </c>
      <c r="E80" s="15">
        <f t="shared" si="10"/>
        <v>221983.13999999998</v>
      </c>
      <c r="F80" s="15">
        <f t="shared" si="12"/>
        <v>546.51960000000008</v>
      </c>
      <c r="G80" s="15">
        <f t="shared" si="13"/>
        <v>9335.5195999999996</v>
      </c>
      <c r="H80" s="15">
        <f t="shared" si="14"/>
        <v>-546.51959999999963</v>
      </c>
    </row>
    <row r="81" spans="1:8" x14ac:dyDescent="0.25">
      <c r="A81" s="17" t="s">
        <v>1201</v>
      </c>
      <c r="B81" s="28">
        <v>43647</v>
      </c>
      <c r="C81" s="15">
        <v>5829.48</v>
      </c>
      <c r="D81" s="15">
        <f t="shared" si="11"/>
        <v>2959.5200000000004</v>
      </c>
      <c r="E81" s="15">
        <f t="shared" si="10"/>
        <v>216153.65999999997</v>
      </c>
      <c r="F81" s="15">
        <f t="shared" si="12"/>
        <v>532.71360000000004</v>
      </c>
      <c r="G81" s="15">
        <f t="shared" si="13"/>
        <v>9321.7135999999991</v>
      </c>
      <c r="H81" s="15">
        <f t="shared" si="14"/>
        <v>-532.71359999999913</v>
      </c>
    </row>
    <row r="82" spans="1:8" x14ac:dyDescent="0.25">
      <c r="A82" s="17" t="s">
        <v>1203</v>
      </c>
      <c r="B82" s="28">
        <v>43678</v>
      </c>
      <c r="C82" s="15">
        <v>5907.21</v>
      </c>
      <c r="D82" s="15">
        <f t="shared" si="11"/>
        <v>2881.79</v>
      </c>
      <c r="E82" s="15">
        <f t="shared" si="10"/>
        <v>210246.44999999998</v>
      </c>
      <c r="F82" s="15">
        <f t="shared" si="12"/>
        <v>518.72220000000004</v>
      </c>
      <c r="G82" s="15">
        <f t="shared" si="13"/>
        <v>9307.7222000000002</v>
      </c>
      <c r="H82" s="15">
        <f t="shared" si="14"/>
        <v>-518.72220000000016</v>
      </c>
    </row>
    <row r="83" spans="1:8" x14ac:dyDescent="0.25">
      <c r="A83" s="17" t="s">
        <v>1205</v>
      </c>
      <c r="B83" s="28">
        <v>43709</v>
      </c>
      <c r="C83" s="15">
        <v>5985.97</v>
      </c>
      <c r="D83" s="15">
        <f t="shared" si="11"/>
        <v>2803.0299999999997</v>
      </c>
      <c r="E83" s="15">
        <f t="shared" si="10"/>
        <v>204260.47999999998</v>
      </c>
      <c r="F83" s="15">
        <f t="shared" si="12"/>
        <v>504.54539999999992</v>
      </c>
      <c r="G83" s="15">
        <f t="shared" si="13"/>
        <v>9293.5453999999991</v>
      </c>
      <c r="H83" s="15">
        <f t="shared" si="14"/>
        <v>-504.54539999999906</v>
      </c>
    </row>
    <row r="84" spans="1:8" x14ac:dyDescent="0.25">
      <c r="A84" s="17" t="s">
        <v>1207</v>
      </c>
      <c r="B84" s="28">
        <v>43739</v>
      </c>
      <c r="C84" s="15">
        <v>6065.79</v>
      </c>
      <c r="D84" s="15">
        <f t="shared" si="11"/>
        <v>2723.21</v>
      </c>
      <c r="E84" s="15">
        <f t="shared" si="10"/>
        <v>198194.68999999997</v>
      </c>
      <c r="F84" s="15">
        <f t="shared" si="12"/>
        <v>490.17779999999999</v>
      </c>
      <c r="G84" s="15">
        <f t="shared" si="13"/>
        <v>9279.1777999999995</v>
      </c>
      <c r="H84" s="15">
        <f t="shared" si="14"/>
        <v>-490.17779999999948</v>
      </c>
    </row>
    <row r="85" spans="1:8" x14ac:dyDescent="0.25">
      <c r="A85" s="17" t="s">
        <v>1208</v>
      </c>
      <c r="B85" s="28">
        <v>43770</v>
      </c>
      <c r="C85" s="15">
        <v>6146.66</v>
      </c>
      <c r="D85" s="15">
        <f t="shared" si="11"/>
        <v>2642.34</v>
      </c>
      <c r="E85" s="15">
        <f t="shared" si="10"/>
        <v>192048.02999999997</v>
      </c>
      <c r="F85" s="15">
        <f t="shared" si="12"/>
        <v>475.62120000000004</v>
      </c>
      <c r="G85" s="15">
        <f t="shared" si="13"/>
        <v>9264.6211999999996</v>
      </c>
      <c r="H85" s="15">
        <f t="shared" si="14"/>
        <v>-475.62119999999959</v>
      </c>
    </row>
    <row r="86" spans="1:8" x14ac:dyDescent="0.25">
      <c r="A86" s="17" t="s">
        <v>1209</v>
      </c>
      <c r="B86" s="28">
        <v>43800</v>
      </c>
      <c r="C86" s="15">
        <v>6228.62</v>
      </c>
      <c r="D86" s="15">
        <f t="shared" si="11"/>
        <v>2560.38</v>
      </c>
      <c r="E86" s="15">
        <f t="shared" si="10"/>
        <v>185819.40999999997</v>
      </c>
      <c r="F86" s="15">
        <f t="shared" si="12"/>
        <v>460.86840000000007</v>
      </c>
      <c r="G86" s="15">
        <f t="shared" si="13"/>
        <v>9249.8683999999994</v>
      </c>
      <c r="H86" s="15">
        <f t="shared" si="14"/>
        <v>-460.86839999999938</v>
      </c>
    </row>
    <row r="87" spans="1:8" x14ac:dyDescent="0.25">
      <c r="A87" s="17" t="s">
        <v>1210</v>
      </c>
      <c r="B87" s="28">
        <v>43831</v>
      </c>
      <c r="C87" s="15">
        <v>6311.67</v>
      </c>
      <c r="D87" s="15">
        <f t="shared" si="11"/>
        <v>2477.33</v>
      </c>
      <c r="E87" s="15">
        <f t="shared" si="10"/>
        <v>179507.73999999996</v>
      </c>
      <c r="F87" s="15">
        <f t="shared" si="12"/>
        <v>445.9194</v>
      </c>
      <c r="G87" s="15">
        <f t="shared" si="13"/>
        <v>9234.9194000000007</v>
      </c>
      <c r="H87" s="15">
        <f t="shared" si="14"/>
        <v>-445.91940000000068</v>
      </c>
    </row>
    <row r="88" spans="1:8" x14ac:dyDescent="0.25">
      <c r="A88" s="17" t="s">
        <v>1212</v>
      </c>
      <c r="B88" s="28">
        <v>43862</v>
      </c>
      <c r="C88" s="15">
        <v>6395.82</v>
      </c>
      <c r="D88" s="15">
        <f t="shared" si="11"/>
        <v>2393.1800000000003</v>
      </c>
      <c r="E88" s="15">
        <f t="shared" si="10"/>
        <v>173111.91999999995</v>
      </c>
      <c r="F88" s="15">
        <f t="shared" si="12"/>
        <v>430.77240000000006</v>
      </c>
      <c r="G88" s="15">
        <f t="shared" si="13"/>
        <v>9219.7723999999998</v>
      </c>
      <c r="H88" s="15">
        <f t="shared" si="14"/>
        <v>-430.77239999999983</v>
      </c>
    </row>
    <row r="89" spans="1:8" x14ac:dyDescent="0.25">
      <c r="A89" s="17" t="s">
        <v>1213</v>
      </c>
      <c r="B89" s="28">
        <v>43891</v>
      </c>
      <c r="C89" s="15">
        <v>6481.1</v>
      </c>
      <c r="D89" s="15">
        <f t="shared" si="11"/>
        <v>2307.8999999999996</v>
      </c>
      <c r="E89" s="15">
        <f t="shared" si="10"/>
        <v>166630.81999999995</v>
      </c>
      <c r="F89" s="15">
        <f t="shared" si="12"/>
        <v>415.42199999999997</v>
      </c>
      <c r="G89" s="15">
        <f t="shared" si="13"/>
        <v>9204.4220000000005</v>
      </c>
      <c r="H89" s="15">
        <f t="shared" si="14"/>
        <v>-415.42200000000048</v>
      </c>
    </row>
    <row r="90" spans="1:8" x14ac:dyDescent="0.25">
      <c r="A90" s="17" t="s">
        <v>1214</v>
      </c>
      <c r="B90" s="28">
        <v>43922</v>
      </c>
      <c r="C90" s="15">
        <v>6567.52</v>
      </c>
      <c r="D90" s="15">
        <f t="shared" si="11"/>
        <v>2221.4799999999996</v>
      </c>
      <c r="E90" s="15">
        <f t="shared" si="10"/>
        <v>160063.29999999996</v>
      </c>
      <c r="F90" s="15">
        <f t="shared" si="12"/>
        <v>399.86639999999994</v>
      </c>
      <c r="G90" s="15">
        <f t="shared" si="13"/>
        <v>9188.8664000000008</v>
      </c>
      <c r="H90" s="15">
        <f t="shared" si="14"/>
        <v>-399.86640000000079</v>
      </c>
    </row>
    <row r="91" spans="1:8" x14ac:dyDescent="0.25">
      <c r="A91" s="17" t="s">
        <v>1215</v>
      </c>
      <c r="B91" s="28">
        <v>43952</v>
      </c>
      <c r="C91" s="15">
        <v>6655.08</v>
      </c>
      <c r="D91" s="15">
        <f t="shared" si="11"/>
        <v>2133.92</v>
      </c>
      <c r="E91" s="15">
        <f t="shared" si="10"/>
        <v>153408.21999999997</v>
      </c>
      <c r="F91" s="15">
        <f t="shared" si="12"/>
        <v>384.10559999999998</v>
      </c>
      <c r="G91" s="15">
        <f t="shared" si="13"/>
        <v>9173.1056000000008</v>
      </c>
      <c r="H91" s="15">
        <f t="shared" si="14"/>
        <v>-384.10560000000078</v>
      </c>
    </row>
    <row r="92" spans="1:8" x14ac:dyDescent="0.25">
      <c r="A92" s="17" t="s">
        <v>1217</v>
      </c>
      <c r="B92" s="28">
        <v>43983</v>
      </c>
      <c r="C92" s="15">
        <v>6743.82</v>
      </c>
      <c r="D92" s="15">
        <f t="shared" si="11"/>
        <v>2045.1800000000003</v>
      </c>
      <c r="E92" s="15">
        <f t="shared" si="10"/>
        <v>146664.39999999997</v>
      </c>
      <c r="F92" s="15">
        <f t="shared" si="12"/>
        <v>368.13240000000008</v>
      </c>
      <c r="G92" s="15">
        <f t="shared" si="13"/>
        <v>9157.1324000000004</v>
      </c>
      <c r="H92" s="15">
        <f t="shared" si="14"/>
        <v>-368.13240000000042</v>
      </c>
    </row>
    <row r="93" spans="1:8" x14ac:dyDescent="0.25">
      <c r="A93" s="17" t="s">
        <v>1218</v>
      </c>
      <c r="B93" s="28">
        <v>44013</v>
      </c>
      <c r="C93" s="15">
        <v>6833.73</v>
      </c>
      <c r="D93" s="15">
        <f t="shared" si="11"/>
        <v>1955.2700000000004</v>
      </c>
      <c r="E93" s="15">
        <f t="shared" si="10"/>
        <v>139830.66999999995</v>
      </c>
      <c r="F93" s="15">
        <f t="shared" si="12"/>
        <v>351.94860000000006</v>
      </c>
      <c r="G93" s="15">
        <f t="shared" si="13"/>
        <v>9140.9485999999997</v>
      </c>
      <c r="H93" s="15">
        <f t="shared" si="14"/>
        <v>-351.94859999999971</v>
      </c>
    </row>
    <row r="94" spans="1:8" x14ac:dyDescent="0.25">
      <c r="A94" s="17" t="s">
        <v>1219</v>
      </c>
      <c r="B94" s="28">
        <v>44044</v>
      </c>
      <c r="C94" s="15">
        <v>6924.85</v>
      </c>
      <c r="D94" s="15">
        <f t="shared" si="11"/>
        <v>1864.1499999999996</v>
      </c>
      <c r="E94" s="15">
        <f t="shared" si="10"/>
        <v>132905.81999999995</v>
      </c>
      <c r="F94" s="15">
        <f t="shared" si="12"/>
        <v>335.54699999999997</v>
      </c>
      <c r="G94" s="15">
        <f t="shared" si="13"/>
        <v>9124.5470000000005</v>
      </c>
      <c r="H94" s="15">
        <f t="shared" si="14"/>
        <v>-335.54700000000048</v>
      </c>
    </row>
    <row r="95" spans="1:8" x14ac:dyDescent="0.25">
      <c r="A95" s="17" t="s">
        <v>1220</v>
      </c>
      <c r="B95" s="28">
        <v>44075</v>
      </c>
      <c r="C95" s="15">
        <v>7017.18</v>
      </c>
      <c r="D95" s="15">
        <f t="shared" si="11"/>
        <v>1771.8199999999997</v>
      </c>
      <c r="E95" s="15">
        <f t="shared" si="10"/>
        <v>125888.63999999996</v>
      </c>
      <c r="F95" s="15">
        <f t="shared" si="12"/>
        <v>318.92759999999993</v>
      </c>
      <c r="G95" s="15">
        <f t="shared" si="13"/>
        <v>9107.9275999999991</v>
      </c>
      <c r="H95" s="15">
        <f t="shared" si="14"/>
        <v>-318.92759999999907</v>
      </c>
    </row>
    <row r="96" spans="1:8" x14ac:dyDescent="0.25">
      <c r="A96" s="17" t="s">
        <v>1221</v>
      </c>
      <c r="B96" s="28">
        <v>44105</v>
      </c>
      <c r="C96" s="15">
        <v>7110.74</v>
      </c>
      <c r="D96" s="15">
        <f t="shared" si="11"/>
        <v>1678.2600000000002</v>
      </c>
      <c r="E96" s="15">
        <f t="shared" si="10"/>
        <v>118777.89999999995</v>
      </c>
      <c r="F96" s="15">
        <f t="shared" si="12"/>
        <v>302.08680000000004</v>
      </c>
      <c r="G96" s="15">
        <f t="shared" si="13"/>
        <v>9091.0868000000009</v>
      </c>
      <c r="H96" s="15">
        <f t="shared" si="14"/>
        <v>-302.08680000000095</v>
      </c>
    </row>
    <row r="97" spans="1:8" x14ac:dyDescent="0.25">
      <c r="A97" s="17" t="s">
        <v>1222</v>
      </c>
      <c r="B97" s="28">
        <v>44136</v>
      </c>
      <c r="C97" s="15">
        <v>7205.55</v>
      </c>
      <c r="D97" s="15">
        <f t="shared" si="11"/>
        <v>1583.4499999999998</v>
      </c>
      <c r="E97" s="15">
        <f t="shared" si="10"/>
        <v>111572.34999999995</v>
      </c>
      <c r="F97" s="15">
        <f t="shared" si="12"/>
        <v>285.02099999999996</v>
      </c>
      <c r="G97" s="15">
        <f t="shared" si="13"/>
        <v>9074.0210000000006</v>
      </c>
      <c r="H97" s="15">
        <f t="shared" si="14"/>
        <v>-285.02100000000064</v>
      </c>
    </row>
    <row r="98" spans="1:8" x14ac:dyDescent="0.25">
      <c r="A98" s="17" t="s">
        <v>1223</v>
      </c>
      <c r="B98" s="28">
        <v>44166</v>
      </c>
      <c r="C98" s="15">
        <v>7301.63</v>
      </c>
      <c r="D98" s="15">
        <f t="shared" si="11"/>
        <v>1487.37</v>
      </c>
      <c r="E98" s="15">
        <f t="shared" si="10"/>
        <v>104270.71999999994</v>
      </c>
      <c r="F98" s="15">
        <f t="shared" si="12"/>
        <v>267.72659999999996</v>
      </c>
      <c r="G98" s="15">
        <f t="shared" si="13"/>
        <v>9056.7266</v>
      </c>
      <c r="H98" s="15">
        <f t="shared" si="14"/>
        <v>-267.72659999999996</v>
      </c>
    </row>
    <row r="99" spans="1:8" x14ac:dyDescent="0.25">
      <c r="A99" s="17" t="s">
        <v>1224</v>
      </c>
      <c r="B99" s="28">
        <v>44197</v>
      </c>
      <c r="C99" s="15">
        <v>7398.98</v>
      </c>
      <c r="D99" s="15">
        <f t="shared" si="11"/>
        <v>1390.0200000000004</v>
      </c>
      <c r="E99" s="15">
        <f t="shared" si="10"/>
        <v>96871.739999999947</v>
      </c>
      <c r="F99" s="15">
        <f t="shared" si="12"/>
        <v>250.20360000000008</v>
      </c>
      <c r="G99" s="15">
        <f t="shared" si="13"/>
        <v>9039.2036000000007</v>
      </c>
      <c r="H99" s="15">
        <f t="shared" si="14"/>
        <v>-250.20360000000073</v>
      </c>
    </row>
    <row r="100" spans="1:8" x14ac:dyDescent="0.25">
      <c r="A100" s="17" t="s">
        <v>1225</v>
      </c>
      <c r="B100" s="28">
        <v>44228</v>
      </c>
      <c r="C100" s="15">
        <v>7497.64</v>
      </c>
      <c r="D100" s="15">
        <f t="shared" si="11"/>
        <v>1291.3599999999997</v>
      </c>
      <c r="E100" s="15">
        <f t="shared" si="10"/>
        <v>89374.099999999948</v>
      </c>
      <c r="F100" s="15">
        <f t="shared" si="12"/>
        <v>232.44479999999996</v>
      </c>
      <c r="G100" s="15">
        <f t="shared" si="13"/>
        <v>9021.4447999999993</v>
      </c>
      <c r="H100" s="15">
        <f t="shared" si="14"/>
        <v>-232.4447999999993</v>
      </c>
    </row>
    <row r="101" spans="1:8" x14ac:dyDescent="0.25">
      <c r="A101" s="17" t="s">
        <v>1226</v>
      </c>
      <c r="B101" s="28">
        <v>44256</v>
      </c>
      <c r="C101" s="15">
        <v>7597.61</v>
      </c>
      <c r="D101" s="15">
        <f t="shared" si="11"/>
        <v>1191.3900000000003</v>
      </c>
      <c r="E101" s="15">
        <f t="shared" si="10"/>
        <v>81776.489999999947</v>
      </c>
      <c r="F101" s="15">
        <f t="shared" si="12"/>
        <v>214.45020000000005</v>
      </c>
      <c r="G101" s="15">
        <f t="shared" si="13"/>
        <v>9003.4501999999993</v>
      </c>
      <c r="H101" s="15">
        <f t="shared" si="14"/>
        <v>-214.45019999999931</v>
      </c>
    </row>
    <row r="102" spans="1:8" x14ac:dyDescent="0.25">
      <c r="A102" s="17" t="s">
        <v>1227</v>
      </c>
      <c r="B102" s="28">
        <v>44287</v>
      </c>
      <c r="C102" s="15">
        <v>7698.91</v>
      </c>
      <c r="D102" s="15">
        <f t="shared" si="11"/>
        <v>1090.0900000000001</v>
      </c>
      <c r="E102" s="15">
        <f t="shared" si="10"/>
        <v>74077.579999999944</v>
      </c>
      <c r="F102" s="15">
        <f t="shared" si="12"/>
        <v>196.21620000000001</v>
      </c>
      <c r="G102" s="15">
        <f t="shared" si="13"/>
        <v>8985.2162000000008</v>
      </c>
      <c r="H102" s="15">
        <f t="shared" si="14"/>
        <v>-196.21620000000075</v>
      </c>
    </row>
    <row r="103" spans="1:8" x14ac:dyDescent="0.25">
      <c r="A103" s="17" t="s">
        <v>1228</v>
      </c>
      <c r="B103" s="28">
        <v>44317</v>
      </c>
      <c r="C103" s="15">
        <v>7801.56</v>
      </c>
      <c r="D103" s="15">
        <f t="shared" si="11"/>
        <v>987.4399999999996</v>
      </c>
      <c r="E103" s="15">
        <f t="shared" si="10"/>
        <v>66276.019999999946</v>
      </c>
      <c r="F103" s="15">
        <f t="shared" si="12"/>
        <v>177.7391999999999</v>
      </c>
      <c r="G103" s="15">
        <f t="shared" si="13"/>
        <v>8966.7392</v>
      </c>
      <c r="H103" s="15">
        <f t="shared" si="14"/>
        <v>-177.73919999999998</v>
      </c>
    </row>
    <row r="104" spans="1:8" x14ac:dyDescent="0.25">
      <c r="A104" s="17" t="s">
        <v>1229</v>
      </c>
      <c r="B104" s="28">
        <v>44348</v>
      </c>
      <c r="C104" s="15">
        <v>7905.58</v>
      </c>
      <c r="D104" s="15">
        <f t="shared" si="11"/>
        <v>883.42000000000007</v>
      </c>
      <c r="E104" s="15">
        <f t="shared" si="10"/>
        <v>58370.439999999944</v>
      </c>
      <c r="F104" s="15">
        <f t="shared" si="12"/>
        <v>159.01560000000001</v>
      </c>
      <c r="G104" s="15">
        <f t="shared" si="13"/>
        <v>8948.0156000000006</v>
      </c>
      <c r="H104" s="15">
        <f t="shared" si="14"/>
        <v>-159.01560000000063</v>
      </c>
    </row>
    <row r="105" spans="1:8" x14ac:dyDescent="0.25">
      <c r="A105" s="17" t="s">
        <v>1230</v>
      </c>
      <c r="B105" s="28">
        <v>44378</v>
      </c>
      <c r="C105" s="15">
        <v>8010.99</v>
      </c>
      <c r="D105" s="15">
        <f t="shared" si="11"/>
        <v>778.01000000000022</v>
      </c>
      <c r="E105" s="15">
        <f t="shared" si="10"/>
        <v>50359.449999999946</v>
      </c>
      <c r="F105" s="15">
        <f t="shared" si="12"/>
        <v>140.04180000000005</v>
      </c>
      <c r="G105" s="15">
        <f t="shared" si="13"/>
        <v>8929.0418000000009</v>
      </c>
      <c r="H105" s="15">
        <f t="shared" si="14"/>
        <v>-140.04180000000088</v>
      </c>
    </row>
    <row r="106" spans="1:8" x14ac:dyDescent="0.25">
      <c r="A106" s="17" t="s">
        <v>1231</v>
      </c>
      <c r="B106" s="28">
        <v>44409</v>
      </c>
      <c r="C106" s="15">
        <v>8117.8</v>
      </c>
      <c r="D106" s="15">
        <f t="shared" si="11"/>
        <v>671.19999999999982</v>
      </c>
      <c r="E106" s="15">
        <f t="shared" si="10"/>
        <v>42241.649999999943</v>
      </c>
      <c r="F106" s="15">
        <f t="shared" si="12"/>
        <v>120.81599999999997</v>
      </c>
      <c r="G106" s="15">
        <f t="shared" si="13"/>
        <v>8909.8160000000007</v>
      </c>
      <c r="H106" s="15">
        <f t="shared" si="14"/>
        <v>-120.81600000000071</v>
      </c>
    </row>
    <row r="107" spans="1:8" x14ac:dyDescent="0.25">
      <c r="A107" s="17" t="s">
        <v>1232</v>
      </c>
      <c r="B107" s="28">
        <v>44440</v>
      </c>
      <c r="C107" s="15">
        <v>8226.0400000000009</v>
      </c>
      <c r="D107" s="15">
        <f t="shared" si="11"/>
        <v>562.95999999999913</v>
      </c>
      <c r="E107" s="15">
        <f t="shared" si="10"/>
        <v>34015.609999999942</v>
      </c>
      <c r="F107" s="15">
        <f t="shared" si="12"/>
        <v>101.33279999999985</v>
      </c>
      <c r="G107" s="15">
        <f t="shared" si="13"/>
        <v>8890.3328000000001</v>
      </c>
      <c r="H107" s="15">
        <f t="shared" si="14"/>
        <v>-101.33280000000013</v>
      </c>
    </row>
    <row r="108" spans="1:8" x14ac:dyDescent="0.25">
      <c r="A108" s="17" t="s">
        <v>1233</v>
      </c>
      <c r="B108" s="28">
        <v>44470</v>
      </c>
      <c r="C108" s="15">
        <v>8335.7199999999993</v>
      </c>
      <c r="D108" s="15">
        <f t="shared" si="11"/>
        <v>453.28000000000065</v>
      </c>
      <c r="E108" s="15">
        <f t="shared" si="10"/>
        <v>25679.889999999941</v>
      </c>
      <c r="F108" s="15">
        <f t="shared" si="12"/>
        <v>81.590400000000116</v>
      </c>
      <c r="G108" s="15">
        <f t="shared" si="13"/>
        <v>8870.590400000001</v>
      </c>
      <c r="H108" s="15">
        <f t="shared" si="14"/>
        <v>-81.590400000000955</v>
      </c>
    </row>
    <row r="109" spans="1:8" x14ac:dyDescent="0.25">
      <c r="A109" s="17" t="s">
        <v>1234</v>
      </c>
      <c r="B109" s="28">
        <v>44501</v>
      </c>
      <c r="C109" s="15">
        <v>8446.86</v>
      </c>
      <c r="D109" s="15">
        <f t="shared" si="11"/>
        <v>342.13999999999942</v>
      </c>
      <c r="E109" s="15">
        <f t="shared" si="10"/>
        <v>17233.029999999941</v>
      </c>
      <c r="F109" s="15">
        <f t="shared" si="12"/>
        <v>61.585199999999894</v>
      </c>
      <c r="G109" s="15">
        <f t="shared" si="13"/>
        <v>8850.5851999999995</v>
      </c>
      <c r="H109" s="15">
        <f t="shared" si="14"/>
        <v>-61.585199999999531</v>
      </c>
    </row>
    <row r="110" spans="1:8" x14ac:dyDescent="0.25">
      <c r="A110" s="17" t="s">
        <v>1235</v>
      </c>
      <c r="B110" s="28">
        <v>44531</v>
      </c>
      <c r="C110" s="15">
        <v>8559.49</v>
      </c>
      <c r="D110" s="15">
        <f t="shared" si="11"/>
        <v>229.51000000000022</v>
      </c>
      <c r="E110" s="15">
        <f t="shared" si="10"/>
        <v>8673.5399999999408</v>
      </c>
      <c r="F110" s="15">
        <f t="shared" si="12"/>
        <v>41.311800000000041</v>
      </c>
      <c r="G110" s="15">
        <f t="shared" si="13"/>
        <v>8830.3117999999995</v>
      </c>
      <c r="H110" s="15">
        <f t="shared" si="14"/>
        <v>-41.311799999999494</v>
      </c>
    </row>
    <row r="111" spans="1:8" x14ac:dyDescent="0.25">
      <c r="A111" s="17" t="s">
        <v>1236</v>
      </c>
      <c r="B111" s="28">
        <v>44562</v>
      </c>
      <c r="C111" s="15">
        <v>8673.5400000000009</v>
      </c>
      <c r="D111" s="15">
        <f t="shared" si="11"/>
        <v>115.45999999999913</v>
      </c>
      <c r="E111" s="15">
        <f t="shared" si="10"/>
        <v>-6.0026650317013264E-11</v>
      </c>
      <c r="F111" s="15">
        <f t="shared" si="12"/>
        <v>20.782799999999842</v>
      </c>
      <c r="G111" s="15">
        <f t="shared" si="13"/>
        <v>8809.782799999999</v>
      </c>
      <c r="H111" s="15">
        <f t="shared" si="14"/>
        <v>-20.782799999999042</v>
      </c>
    </row>
    <row r="112" spans="1:8" x14ac:dyDescent="0.25">
      <c r="A112" s="26"/>
      <c r="B112" s="164"/>
      <c r="C112" s="11"/>
      <c r="D112" s="11"/>
      <c r="E112" s="11"/>
      <c r="F112" s="11"/>
      <c r="G112" s="11"/>
    </row>
    <row r="113" spans="1:7" x14ac:dyDescent="0.25">
      <c r="A113" s="26"/>
      <c r="B113" s="164"/>
      <c r="C113" s="11"/>
      <c r="D113" s="11"/>
      <c r="E113" s="11"/>
      <c r="F113" s="11"/>
      <c r="G113" s="11"/>
    </row>
    <row r="114" spans="1:7" x14ac:dyDescent="0.25">
      <c r="A114" s="26"/>
      <c r="B114" s="164"/>
      <c r="C114" s="11"/>
      <c r="D114" s="11"/>
      <c r="E114" s="11"/>
      <c r="F114" s="11"/>
      <c r="G114" s="11"/>
    </row>
    <row r="115" spans="1:7" x14ac:dyDescent="0.25">
      <c r="A115" s="26"/>
      <c r="B115" s="164"/>
      <c r="C115" s="11"/>
      <c r="D115" s="11"/>
      <c r="E115" s="11"/>
      <c r="F115" s="11"/>
      <c r="G115" s="11"/>
    </row>
    <row r="116" spans="1:7" x14ac:dyDescent="0.25">
      <c r="A116" s="26"/>
      <c r="B116" s="164"/>
      <c r="C116" s="11"/>
      <c r="D116" s="11"/>
      <c r="E116" s="11"/>
      <c r="F116" s="11"/>
      <c r="G116" s="11"/>
    </row>
    <row r="117" spans="1:7" x14ac:dyDescent="0.25">
      <c r="A117" s="26"/>
      <c r="B117" s="164"/>
      <c r="C117" s="11"/>
      <c r="D117" s="11"/>
      <c r="E117" s="11"/>
      <c r="F117" s="11"/>
      <c r="G117" s="11"/>
    </row>
    <row r="118" spans="1:7" x14ac:dyDescent="0.25">
      <c r="A118" s="26"/>
      <c r="B118" s="164"/>
      <c r="C118" s="11"/>
      <c r="D118" s="11"/>
      <c r="E118" s="11"/>
      <c r="F118" s="11"/>
      <c r="G118" s="11"/>
    </row>
    <row r="119" spans="1:7" x14ac:dyDescent="0.25">
      <c r="A119" s="26"/>
      <c r="B119" s="164"/>
      <c r="C119" s="11"/>
      <c r="D119" s="11"/>
      <c r="E119" s="11"/>
      <c r="F119" s="11"/>
      <c r="G119" s="11"/>
    </row>
    <row r="120" spans="1:7" x14ac:dyDescent="0.25">
      <c r="A120" s="26"/>
      <c r="B120" s="164"/>
      <c r="C120" s="11"/>
      <c r="D120" s="11"/>
      <c r="E120" s="11"/>
      <c r="F120" s="11"/>
      <c r="G120" s="11"/>
    </row>
    <row r="121" spans="1:7" x14ac:dyDescent="0.25">
      <c r="A121" s="26"/>
      <c r="B121" s="164"/>
      <c r="C121" s="11"/>
      <c r="D121" s="11"/>
      <c r="E121" s="11"/>
      <c r="F121" s="11"/>
      <c r="G121" s="11"/>
    </row>
    <row r="122" spans="1:7" x14ac:dyDescent="0.25">
      <c r="A122" s="26"/>
      <c r="B122" s="164"/>
      <c r="C122" s="11"/>
      <c r="D122" s="11"/>
      <c r="E122" s="11"/>
      <c r="F122" s="11"/>
      <c r="G122" s="11"/>
    </row>
    <row r="123" spans="1:7" x14ac:dyDescent="0.25">
      <c r="A123" s="26"/>
      <c r="B123" s="164"/>
      <c r="C123" s="11"/>
      <c r="D123" s="11"/>
      <c r="E123" s="11"/>
      <c r="F123" s="11"/>
      <c r="G123" s="11"/>
    </row>
    <row r="124" spans="1:7" x14ac:dyDescent="0.25">
      <c r="A124" s="26"/>
      <c r="B124" s="164"/>
      <c r="C124" s="11"/>
      <c r="D124" s="11"/>
      <c r="E124" s="11"/>
      <c r="F124" s="11"/>
      <c r="G124" s="11"/>
    </row>
    <row r="125" spans="1:7" x14ac:dyDescent="0.25">
      <c r="A125" s="26"/>
      <c r="B125" s="164"/>
      <c r="C125" s="11"/>
      <c r="D125" s="11"/>
      <c r="E125" s="11"/>
      <c r="F125" s="11"/>
      <c r="G125" s="11"/>
    </row>
    <row r="126" spans="1:7" x14ac:dyDescent="0.25">
      <c r="A126" s="26"/>
      <c r="B126" s="164"/>
      <c r="C126" s="11"/>
      <c r="D126" s="11"/>
      <c r="E126" s="11"/>
      <c r="F126" s="11"/>
      <c r="G126" s="11"/>
    </row>
    <row r="127" spans="1:7" x14ac:dyDescent="0.25">
      <c r="A127" s="26"/>
      <c r="B127" s="164"/>
      <c r="C127" s="11"/>
      <c r="D127" s="11"/>
      <c r="E127" s="11"/>
      <c r="F127" s="11"/>
      <c r="G127" s="11"/>
    </row>
    <row r="128" spans="1:7" x14ac:dyDescent="0.25">
      <c r="A128" s="26"/>
      <c r="B128" s="164"/>
      <c r="C128" s="11"/>
      <c r="D128" s="11"/>
      <c r="E128" s="11"/>
      <c r="F128" s="11"/>
      <c r="G128" s="11"/>
    </row>
    <row r="129" spans="1:7" x14ac:dyDescent="0.25">
      <c r="A129" s="26"/>
      <c r="B129" s="164"/>
      <c r="C129" s="11"/>
      <c r="D129" s="11"/>
      <c r="E129" s="11"/>
      <c r="F129" s="11"/>
      <c r="G129" s="11"/>
    </row>
    <row r="130" spans="1:7" x14ac:dyDescent="0.25">
      <c r="A130" s="26"/>
      <c r="B130" s="164"/>
      <c r="C130" s="11"/>
      <c r="D130" s="11"/>
      <c r="E130" s="11"/>
      <c r="F130" s="11"/>
      <c r="G130" s="11"/>
    </row>
    <row r="131" spans="1:7" x14ac:dyDescent="0.25">
      <c r="A131" s="26"/>
      <c r="B131" s="164"/>
      <c r="C131" s="11"/>
      <c r="D131" s="11"/>
      <c r="E131" s="11"/>
      <c r="F131" s="11"/>
      <c r="G131" s="11"/>
    </row>
    <row r="132" spans="1:7" x14ac:dyDescent="0.25">
      <c r="A132" s="26"/>
      <c r="B132" s="164"/>
      <c r="C132" s="11"/>
      <c r="D132" s="11"/>
      <c r="E132" s="11"/>
      <c r="F132" s="11"/>
      <c r="G132" s="11"/>
    </row>
    <row r="133" spans="1:7" x14ac:dyDescent="0.25">
      <c r="A133" s="26"/>
      <c r="B133" s="164"/>
      <c r="C133" s="11"/>
      <c r="D133" s="11"/>
      <c r="E133" s="11"/>
      <c r="F133" s="11"/>
      <c r="G133" s="11"/>
    </row>
    <row r="134" spans="1:7" x14ac:dyDescent="0.25">
      <c r="A134" s="26"/>
      <c r="B134" s="164"/>
      <c r="C134" s="11"/>
      <c r="D134" s="11"/>
      <c r="E134" s="11"/>
      <c r="F134" s="11"/>
      <c r="G134" s="11"/>
    </row>
  </sheetData>
  <mergeCells count="2">
    <mergeCell ref="K1:L1"/>
    <mergeCell ref="K14:L14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8"/>
  <dimension ref="A1:T80"/>
  <sheetViews>
    <sheetView zoomScale="85" zoomScaleNormal="85" workbookViewId="0">
      <selection activeCell="L35" sqref="L35"/>
    </sheetView>
  </sheetViews>
  <sheetFormatPr defaultRowHeight="15" x14ac:dyDescent="0.25"/>
  <cols>
    <col min="1" max="1" width="24" bestFit="1" customWidth="1"/>
    <col min="2" max="3" width="9.28515625" bestFit="1" customWidth="1"/>
    <col min="4" max="5" width="9.5703125" bestFit="1" customWidth="1"/>
    <col min="10" max="10" width="13.28515625" bestFit="1" customWidth="1"/>
    <col min="11" max="12" width="11.28515625" customWidth="1"/>
    <col min="13" max="13" width="16.140625" bestFit="1" customWidth="1"/>
    <col min="15" max="15" width="17.5703125" bestFit="1" customWidth="1"/>
    <col min="19" max="19" width="14.5703125" bestFit="1" customWidth="1"/>
    <col min="20" max="20" width="52.7109375" bestFit="1" customWidth="1"/>
  </cols>
  <sheetData>
    <row r="1" spans="1:20" x14ac:dyDescent="0.25">
      <c r="A1" s="6" t="s">
        <v>622</v>
      </c>
      <c r="B1" s="6" t="s">
        <v>1385</v>
      </c>
      <c r="C1" s="6"/>
      <c r="D1" s="6"/>
      <c r="E1" s="6"/>
      <c r="F1" s="6"/>
      <c r="G1" s="6"/>
      <c r="H1" s="6"/>
      <c r="I1" s="6"/>
      <c r="J1" s="6" t="s">
        <v>1386</v>
      </c>
      <c r="K1" s="6" t="s">
        <v>18</v>
      </c>
      <c r="L1" s="6" t="s">
        <v>0</v>
      </c>
    </row>
    <row r="2" spans="1:20" x14ac:dyDescent="0.25">
      <c r="A2" s="5" t="s">
        <v>1387</v>
      </c>
      <c r="B2" s="4">
        <v>4000</v>
      </c>
      <c r="C2" s="4">
        <v>500</v>
      </c>
      <c r="D2" s="4">
        <v>3000</v>
      </c>
      <c r="E2" s="4">
        <v>500</v>
      </c>
      <c r="F2" s="4"/>
      <c r="G2" s="4"/>
      <c r="H2" s="4"/>
      <c r="I2" s="4"/>
      <c r="J2" s="4">
        <f t="shared" ref="J2:J7" si="0">SUM(B2:I2)</f>
        <v>8000</v>
      </c>
      <c r="K2" s="4">
        <v>8000</v>
      </c>
      <c r="L2" s="4">
        <f>K2-J2</f>
        <v>0</v>
      </c>
    </row>
    <row r="3" spans="1:20" x14ac:dyDescent="0.25">
      <c r="A3" s="5" t="s">
        <v>1388</v>
      </c>
      <c r="B3" s="4">
        <v>3355</v>
      </c>
      <c r="C3" s="4">
        <v>400</v>
      </c>
      <c r="D3" s="4">
        <v>220</v>
      </c>
      <c r="E3" s="4">
        <v>3700</v>
      </c>
      <c r="F3" s="4">
        <v>1070</v>
      </c>
      <c r="G3" s="4"/>
      <c r="H3" s="4"/>
      <c r="I3" s="4"/>
      <c r="J3" s="4">
        <f t="shared" si="0"/>
        <v>8745</v>
      </c>
      <c r="K3" s="4">
        <f>SUM(B3:G3)</f>
        <v>8745</v>
      </c>
      <c r="L3" s="4">
        <f t="shared" ref="L3:L31" si="1">K3-J3</f>
        <v>0</v>
      </c>
    </row>
    <row r="4" spans="1:20" x14ac:dyDescent="0.25">
      <c r="A4" s="5" t="s">
        <v>1389</v>
      </c>
      <c r="B4" s="4">
        <v>10000</v>
      </c>
      <c r="C4" s="4">
        <v>2000</v>
      </c>
      <c r="D4" s="4"/>
      <c r="E4" s="4"/>
      <c r="F4" s="4"/>
      <c r="G4" s="4"/>
      <c r="H4" s="4"/>
      <c r="I4" s="4"/>
      <c r="J4" s="4">
        <f t="shared" si="0"/>
        <v>12000</v>
      </c>
      <c r="K4" s="13">
        <v>12000</v>
      </c>
      <c r="L4" s="4">
        <f t="shared" si="1"/>
        <v>0</v>
      </c>
    </row>
    <row r="5" spans="1:20" x14ac:dyDescent="0.25">
      <c r="A5" s="5" t="s">
        <v>1390</v>
      </c>
      <c r="B5" s="4">
        <v>14000</v>
      </c>
      <c r="C5" s="4">
        <v>20000</v>
      </c>
      <c r="D5" s="4">
        <v>6000</v>
      </c>
      <c r="E5" s="4">
        <v>4000</v>
      </c>
      <c r="F5" s="4">
        <v>4500</v>
      </c>
      <c r="G5" s="4"/>
      <c r="H5" s="4"/>
      <c r="I5" s="4"/>
      <c r="J5" s="4">
        <f t="shared" si="0"/>
        <v>48500</v>
      </c>
      <c r="K5" s="13">
        <v>48500</v>
      </c>
      <c r="L5" s="4">
        <f t="shared" si="1"/>
        <v>0</v>
      </c>
    </row>
    <row r="6" spans="1:20" x14ac:dyDescent="0.25">
      <c r="A6" s="5" t="s">
        <v>1391</v>
      </c>
      <c r="B6" s="4">
        <v>1600</v>
      </c>
      <c r="C6" s="4">
        <v>1800</v>
      </c>
      <c r="D6" s="4">
        <v>50</v>
      </c>
      <c r="E6" s="4">
        <v>640</v>
      </c>
      <c r="F6" s="4">
        <v>20</v>
      </c>
      <c r="G6" s="4"/>
      <c r="H6" s="4"/>
      <c r="I6" s="4"/>
      <c r="J6" s="4">
        <f t="shared" si="0"/>
        <v>4110</v>
      </c>
      <c r="K6" s="4">
        <v>4110</v>
      </c>
      <c r="L6" s="4">
        <f t="shared" si="1"/>
        <v>0</v>
      </c>
    </row>
    <row r="7" spans="1:20" x14ac:dyDescent="0.25">
      <c r="A7" s="5" t="s">
        <v>1392</v>
      </c>
      <c r="B7" s="4">
        <v>6000</v>
      </c>
      <c r="C7" s="4">
        <v>1000</v>
      </c>
      <c r="D7" s="4"/>
      <c r="E7" s="4"/>
      <c r="F7" s="4"/>
      <c r="G7" s="4"/>
      <c r="H7" s="4"/>
      <c r="I7" s="4"/>
      <c r="J7" s="4">
        <f t="shared" si="0"/>
        <v>7000</v>
      </c>
      <c r="K7" s="4">
        <v>7000</v>
      </c>
      <c r="L7" s="4">
        <f t="shared" si="1"/>
        <v>0</v>
      </c>
    </row>
    <row r="8" spans="1:20" x14ac:dyDescent="0.25">
      <c r="A8" s="5" t="s">
        <v>1393</v>
      </c>
      <c r="B8" s="4">
        <v>50000</v>
      </c>
      <c r="C8" s="4">
        <v>50000</v>
      </c>
      <c r="D8" s="4">
        <v>100000</v>
      </c>
      <c r="E8" s="4">
        <v>100000</v>
      </c>
      <c r="F8" s="4">
        <v>50000</v>
      </c>
      <c r="G8" s="4">
        <v>2000</v>
      </c>
      <c r="H8" s="4">
        <v>4200</v>
      </c>
      <c r="I8" s="4">
        <v>54000</v>
      </c>
      <c r="J8" s="4">
        <f>SUM(B8:I8)</f>
        <v>410200</v>
      </c>
      <c r="K8" s="13">
        <v>410200</v>
      </c>
      <c r="L8" s="4">
        <f t="shared" si="1"/>
        <v>0</v>
      </c>
      <c r="O8" s="1"/>
      <c r="P8" s="1" t="s">
        <v>33</v>
      </c>
    </row>
    <row r="9" spans="1:20" x14ac:dyDescent="0.25">
      <c r="A9" s="5" t="s">
        <v>1394</v>
      </c>
      <c r="B9" s="4">
        <v>14000</v>
      </c>
      <c r="C9" s="4">
        <v>10000</v>
      </c>
      <c r="D9" s="4">
        <v>10000</v>
      </c>
      <c r="E9" s="4">
        <v>10000</v>
      </c>
      <c r="F9" s="4">
        <v>2000</v>
      </c>
      <c r="G9" s="4">
        <v>8000</v>
      </c>
      <c r="H9" s="4">
        <v>6000</v>
      </c>
      <c r="I9" s="4"/>
      <c r="J9" s="4">
        <f t="shared" ref="J9:J31" si="2">SUM(B9:I9)</f>
        <v>60000</v>
      </c>
      <c r="K9" s="4">
        <v>60000</v>
      </c>
      <c r="L9" s="4">
        <f t="shared" si="1"/>
        <v>0</v>
      </c>
      <c r="O9" s="1" t="s">
        <v>1395</v>
      </c>
      <c r="P9" s="1">
        <v>15000</v>
      </c>
      <c r="R9">
        <v>117020</v>
      </c>
      <c r="T9" t="s">
        <v>1396</v>
      </c>
    </row>
    <row r="10" spans="1:20" x14ac:dyDescent="0.25">
      <c r="A10" s="5" t="s">
        <v>1397</v>
      </c>
      <c r="B10" s="4">
        <v>11790</v>
      </c>
      <c r="C10" s="4"/>
      <c r="D10" s="4"/>
      <c r="E10" s="4"/>
      <c r="F10" s="4"/>
      <c r="G10" s="4"/>
      <c r="H10" s="4"/>
      <c r="I10" s="4"/>
      <c r="J10" s="4">
        <f t="shared" si="2"/>
        <v>11790</v>
      </c>
      <c r="K10" s="4">
        <v>11790</v>
      </c>
      <c r="L10" s="4">
        <f t="shared" si="1"/>
        <v>0</v>
      </c>
      <c r="O10" s="1" t="s">
        <v>1398</v>
      </c>
      <c r="P10" s="1">
        <v>-5000</v>
      </c>
      <c r="R10">
        <v>108000</v>
      </c>
      <c r="S10" t="s">
        <v>248</v>
      </c>
      <c r="T10" t="s">
        <v>1399</v>
      </c>
    </row>
    <row r="11" spans="1:20" x14ac:dyDescent="0.25">
      <c r="A11" s="5" t="s">
        <v>1400</v>
      </c>
      <c r="B11" s="4">
        <v>17600</v>
      </c>
      <c r="C11" s="4">
        <v>1090</v>
      </c>
      <c r="D11" s="4"/>
      <c r="E11" s="4"/>
      <c r="F11" s="4"/>
      <c r="G11" s="4"/>
      <c r="H11" s="4"/>
      <c r="I11" s="4"/>
      <c r="J11" s="4">
        <f t="shared" si="2"/>
        <v>18690</v>
      </c>
      <c r="K11" s="4">
        <v>18690</v>
      </c>
      <c r="L11" s="4">
        <f t="shared" si="1"/>
        <v>0</v>
      </c>
      <c r="O11" s="1" t="s">
        <v>1398</v>
      </c>
      <c r="P11" s="1">
        <v>-600</v>
      </c>
      <c r="R11">
        <v>50000</v>
      </c>
      <c r="T11" t="s">
        <v>1401</v>
      </c>
    </row>
    <row r="12" spans="1:20" x14ac:dyDescent="0.25">
      <c r="A12" s="5" t="s">
        <v>1402</v>
      </c>
      <c r="B12" s="4">
        <v>4000</v>
      </c>
      <c r="C12" s="4">
        <v>6020</v>
      </c>
      <c r="D12" s="4">
        <v>700</v>
      </c>
      <c r="E12" s="4"/>
      <c r="F12" s="4"/>
      <c r="G12" s="4"/>
      <c r="H12" s="4"/>
      <c r="I12" s="4"/>
      <c r="J12" s="4">
        <f t="shared" si="2"/>
        <v>10720</v>
      </c>
      <c r="K12" s="4">
        <v>10720</v>
      </c>
      <c r="L12" s="4">
        <f t="shared" si="1"/>
        <v>0</v>
      </c>
      <c r="O12" s="1" t="s">
        <v>1403</v>
      </c>
      <c r="P12" s="1">
        <v>-620</v>
      </c>
      <c r="R12">
        <v>2500</v>
      </c>
      <c r="T12" t="s">
        <v>1404</v>
      </c>
    </row>
    <row r="13" spans="1:20" x14ac:dyDescent="0.25">
      <c r="A13" s="5" t="s">
        <v>1405</v>
      </c>
      <c r="B13" s="4">
        <v>500</v>
      </c>
      <c r="C13" s="4">
        <v>500</v>
      </c>
      <c r="D13" s="4">
        <v>2000</v>
      </c>
      <c r="E13" s="4"/>
      <c r="F13" s="4"/>
      <c r="G13" s="4"/>
      <c r="H13" s="4"/>
      <c r="I13" s="4"/>
      <c r="J13" s="4">
        <f t="shared" si="2"/>
        <v>3000</v>
      </c>
      <c r="K13" s="13">
        <v>3000</v>
      </c>
      <c r="L13" s="4">
        <f t="shared" si="1"/>
        <v>0</v>
      </c>
      <c r="O13" s="1" t="s">
        <v>1403</v>
      </c>
      <c r="P13" s="1">
        <v>-560</v>
      </c>
      <c r="R13">
        <v>76000</v>
      </c>
      <c r="S13" t="s">
        <v>1406</v>
      </c>
    </row>
    <row r="14" spans="1:20" x14ac:dyDescent="0.25">
      <c r="A14" s="5" t="s">
        <v>1403</v>
      </c>
      <c r="B14" s="4">
        <v>560</v>
      </c>
      <c r="C14" s="4">
        <v>620</v>
      </c>
      <c r="D14" s="4">
        <v>500</v>
      </c>
      <c r="E14" s="4">
        <v>90</v>
      </c>
      <c r="F14" s="4"/>
      <c r="G14" s="4"/>
      <c r="H14" s="4"/>
      <c r="I14" s="4"/>
      <c r="J14" s="4">
        <f t="shared" si="2"/>
        <v>1770</v>
      </c>
      <c r="K14" s="13">
        <v>1770</v>
      </c>
      <c r="L14" s="4">
        <f t="shared" si="1"/>
        <v>0</v>
      </c>
      <c r="O14" s="1" t="s">
        <v>1407</v>
      </c>
      <c r="P14" s="1">
        <v>-30</v>
      </c>
      <c r="R14">
        <v>35000</v>
      </c>
      <c r="S14" t="s">
        <v>1408</v>
      </c>
    </row>
    <row r="15" spans="1:20" x14ac:dyDescent="0.25">
      <c r="A15" s="5" t="s">
        <v>1398</v>
      </c>
      <c r="B15" s="4">
        <v>5600</v>
      </c>
      <c r="C15" s="4"/>
      <c r="D15" s="4"/>
      <c r="E15" s="4"/>
      <c r="F15" s="4"/>
      <c r="G15" s="4"/>
      <c r="H15" s="4"/>
      <c r="I15" s="4"/>
      <c r="J15" s="4">
        <f t="shared" si="2"/>
        <v>5600</v>
      </c>
      <c r="K15" s="13">
        <v>5600</v>
      </c>
      <c r="L15" s="4">
        <f t="shared" si="1"/>
        <v>0</v>
      </c>
      <c r="O15" s="1" t="s">
        <v>1409</v>
      </c>
      <c r="P15" s="1">
        <v>-3135</v>
      </c>
      <c r="R15">
        <v>16000</v>
      </c>
      <c r="T15" t="s">
        <v>1410</v>
      </c>
    </row>
    <row r="16" spans="1:20" x14ac:dyDescent="0.25">
      <c r="A16" s="5" t="s">
        <v>1411</v>
      </c>
      <c r="B16" s="5">
        <v>100000</v>
      </c>
      <c r="C16" s="5"/>
      <c r="D16" s="5">
        <v>2700</v>
      </c>
      <c r="E16" s="5">
        <v>3500</v>
      </c>
      <c r="F16" s="5"/>
      <c r="G16" s="5"/>
      <c r="H16" s="5"/>
      <c r="I16" s="5"/>
      <c r="J16" s="4">
        <f t="shared" si="2"/>
        <v>106200</v>
      </c>
      <c r="K16" s="5">
        <v>106200</v>
      </c>
      <c r="L16" s="4">
        <f t="shared" si="1"/>
        <v>0</v>
      </c>
      <c r="O16" s="1" t="s">
        <v>1407</v>
      </c>
      <c r="P16" s="1">
        <v>-30</v>
      </c>
      <c r="R16">
        <v>16000</v>
      </c>
      <c r="T16" t="s">
        <v>1412</v>
      </c>
    </row>
    <row r="17" spans="1:20" x14ac:dyDescent="0.25">
      <c r="A17" s="5" t="s">
        <v>1413</v>
      </c>
      <c r="B17" s="5">
        <v>20000</v>
      </c>
      <c r="C17" s="5">
        <v>834</v>
      </c>
      <c r="D17" s="5">
        <v>550</v>
      </c>
      <c r="E17" s="5"/>
      <c r="F17" s="5"/>
      <c r="G17" s="5"/>
      <c r="H17" s="5"/>
      <c r="I17" s="5"/>
      <c r="J17" s="4">
        <f t="shared" si="2"/>
        <v>21384</v>
      </c>
      <c r="K17" s="5">
        <v>21384</v>
      </c>
      <c r="L17" s="4">
        <f t="shared" si="1"/>
        <v>0</v>
      </c>
      <c r="O17" s="1" t="s">
        <v>1414</v>
      </c>
      <c r="P17" s="1">
        <v>-325</v>
      </c>
      <c r="R17">
        <v>10000</v>
      </c>
      <c r="T17" t="s">
        <v>1415</v>
      </c>
    </row>
    <row r="18" spans="1:20" x14ac:dyDescent="0.25">
      <c r="A18" s="5" t="s">
        <v>1416</v>
      </c>
      <c r="B18" s="5">
        <v>16500</v>
      </c>
      <c r="C18" s="5"/>
      <c r="D18" s="5"/>
      <c r="E18" s="5"/>
      <c r="F18" s="5"/>
      <c r="G18" s="5"/>
      <c r="H18" s="5"/>
      <c r="I18" s="5"/>
      <c r="J18" s="4">
        <f t="shared" si="2"/>
        <v>16500</v>
      </c>
      <c r="K18" s="7">
        <v>16500</v>
      </c>
      <c r="L18" s="4">
        <f t="shared" si="1"/>
        <v>0</v>
      </c>
      <c r="O18" s="1" t="s">
        <v>1417</v>
      </c>
      <c r="P18" s="1">
        <v>-10</v>
      </c>
      <c r="R18">
        <v>50000</v>
      </c>
      <c r="T18" t="s">
        <v>1418</v>
      </c>
    </row>
    <row r="19" spans="1:20" x14ac:dyDescent="0.25">
      <c r="A19" s="5" t="s">
        <v>1419</v>
      </c>
      <c r="B19" s="5">
        <v>2000</v>
      </c>
      <c r="C19" s="5"/>
      <c r="D19" s="5"/>
      <c r="E19" s="5"/>
      <c r="F19" s="5"/>
      <c r="G19" s="5"/>
      <c r="H19" s="5"/>
      <c r="I19" s="5"/>
      <c r="J19" s="4">
        <f t="shared" si="2"/>
        <v>2000</v>
      </c>
      <c r="K19" s="5">
        <v>11000</v>
      </c>
      <c r="L19" s="4">
        <f t="shared" si="1"/>
        <v>9000</v>
      </c>
      <c r="O19" s="1"/>
      <c r="P19" s="1"/>
    </row>
    <row r="20" spans="1:20" x14ac:dyDescent="0.25">
      <c r="A20" s="5" t="s">
        <v>1420</v>
      </c>
      <c r="B20" s="5">
        <v>200</v>
      </c>
      <c r="C20" s="5"/>
      <c r="D20" s="5"/>
      <c r="E20" s="5"/>
      <c r="F20" s="5"/>
      <c r="G20" s="5"/>
      <c r="H20" s="5"/>
      <c r="I20" s="5"/>
      <c r="J20" s="4">
        <f t="shared" si="2"/>
        <v>200</v>
      </c>
      <c r="K20" s="5">
        <v>200</v>
      </c>
      <c r="L20" s="4">
        <f>K20-J20</f>
        <v>0</v>
      </c>
      <c r="O20" s="1"/>
      <c r="P20" s="1"/>
    </row>
    <row r="21" spans="1:20" x14ac:dyDescent="0.25">
      <c r="A21" s="5" t="s">
        <v>1421</v>
      </c>
      <c r="B21" s="5">
        <v>3030</v>
      </c>
      <c r="C21" s="5"/>
      <c r="D21" s="5"/>
      <c r="E21" s="5"/>
      <c r="F21" s="5"/>
      <c r="G21" s="5"/>
      <c r="H21" s="5"/>
      <c r="I21" s="5"/>
      <c r="J21" s="4">
        <f t="shared" si="2"/>
        <v>3030</v>
      </c>
      <c r="K21" s="5">
        <v>3030</v>
      </c>
      <c r="L21" s="4">
        <f t="shared" si="1"/>
        <v>0</v>
      </c>
      <c r="O21" s="1"/>
      <c r="P21" s="1"/>
    </row>
    <row r="22" spans="1:20" x14ac:dyDescent="0.25">
      <c r="A22" s="5" t="s">
        <v>1422</v>
      </c>
      <c r="B22" s="5">
        <v>11575</v>
      </c>
      <c r="C22" s="5"/>
      <c r="D22" s="5"/>
      <c r="E22" s="5"/>
      <c r="F22" s="5"/>
      <c r="G22" s="5"/>
      <c r="H22" s="5"/>
      <c r="I22" s="5"/>
      <c r="J22" s="4">
        <f t="shared" si="2"/>
        <v>11575</v>
      </c>
      <c r="K22" s="5">
        <v>11575</v>
      </c>
      <c r="L22" s="4">
        <f t="shared" si="1"/>
        <v>0</v>
      </c>
      <c r="O22" s="1"/>
      <c r="P22" s="1"/>
    </row>
    <row r="23" spans="1:20" x14ac:dyDescent="0.25">
      <c r="A23" s="5" t="s">
        <v>1423</v>
      </c>
      <c r="B23" s="5">
        <v>50000</v>
      </c>
      <c r="C23" s="5"/>
      <c r="D23" s="5"/>
      <c r="E23" s="5"/>
      <c r="F23" s="5"/>
      <c r="G23" s="5"/>
      <c r="H23" s="5"/>
      <c r="I23" s="5"/>
      <c r="J23" s="4">
        <f t="shared" si="2"/>
        <v>50000</v>
      </c>
      <c r="K23" s="5">
        <v>50000</v>
      </c>
      <c r="L23" s="4">
        <f t="shared" si="1"/>
        <v>0</v>
      </c>
      <c r="O23" s="1"/>
      <c r="P23" s="1"/>
    </row>
    <row r="24" spans="1:20" x14ac:dyDescent="0.25">
      <c r="A24" s="5" t="s">
        <v>1424</v>
      </c>
      <c r="B24" s="5">
        <v>10500</v>
      </c>
      <c r="C24" s="5"/>
      <c r="D24" s="5"/>
      <c r="E24" s="5"/>
      <c r="F24" s="5"/>
      <c r="G24" s="5"/>
      <c r="H24" s="5"/>
      <c r="I24" s="5"/>
      <c r="J24" s="4">
        <f t="shared" si="2"/>
        <v>10500</v>
      </c>
      <c r="K24" s="5">
        <v>10500</v>
      </c>
      <c r="L24" s="4">
        <f t="shared" si="1"/>
        <v>0</v>
      </c>
      <c r="O24" s="1"/>
      <c r="P24" s="1"/>
    </row>
    <row r="25" spans="1:20" x14ac:dyDescent="0.25">
      <c r="A25" s="5" t="s">
        <v>1425</v>
      </c>
      <c r="B25" s="5">
        <v>1700</v>
      </c>
      <c r="C25" s="5"/>
      <c r="D25" s="5"/>
      <c r="E25" s="5"/>
      <c r="F25" s="5"/>
      <c r="G25" s="5"/>
      <c r="H25" s="5"/>
      <c r="I25" s="5"/>
      <c r="J25" s="4">
        <f t="shared" si="2"/>
        <v>1700</v>
      </c>
      <c r="K25" s="5">
        <v>1700</v>
      </c>
      <c r="L25" s="4">
        <f t="shared" si="1"/>
        <v>0</v>
      </c>
      <c r="O25" s="1"/>
      <c r="P25" s="1"/>
    </row>
    <row r="26" spans="1:20" x14ac:dyDescent="0.25">
      <c r="A26" s="5" t="s">
        <v>1426</v>
      </c>
      <c r="B26" s="5">
        <v>12350</v>
      </c>
      <c r="C26" s="5">
        <v>3047</v>
      </c>
      <c r="D26" s="5"/>
      <c r="E26" s="5"/>
      <c r="F26" s="5"/>
      <c r="G26" s="5"/>
      <c r="H26" s="5"/>
      <c r="I26" s="5"/>
      <c r="J26" s="4">
        <f t="shared" si="2"/>
        <v>15397</v>
      </c>
      <c r="K26" s="5">
        <v>15397</v>
      </c>
      <c r="L26" s="4">
        <f t="shared" si="1"/>
        <v>0</v>
      </c>
      <c r="O26" s="1"/>
      <c r="P26" s="1"/>
    </row>
    <row r="27" spans="1:20" x14ac:dyDescent="0.25">
      <c r="A27" s="5" t="s">
        <v>1427</v>
      </c>
      <c r="B27" s="5">
        <v>100</v>
      </c>
      <c r="C27" s="5"/>
      <c r="D27" s="5"/>
      <c r="E27" s="5"/>
      <c r="F27" s="5"/>
      <c r="G27" s="5"/>
      <c r="H27" s="5"/>
      <c r="I27" s="5"/>
      <c r="J27" s="4">
        <f t="shared" si="2"/>
        <v>100</v>
      </c>
      <c r="K27" s="5">
        <v>100</v>
      </c>
      <c r="L27" s="4">
        <f t="shared" si="1"/>
        <v>0</v>
      </c>
      <c r="O27" s="1"/>
      <c r="P27" s="1"/>
    </row>
    <row r="28" spans="1:20" x14ac:dyDescent="0.25">
      <c r="A28" s="5" t="s">
        <v>1428</v>
      </c>
      <c r="B28" s="5">
        <v>2530</v>
      </c>
      <c r="C28" s="5"/>
      <c r="D28" s="5"/>
      <c r="E28" s="5"/>
      <c r="F28" s="5"/>
      <c r="G28" s="5"/>
      <c r="H28" s="5"/>
      <c r="I28" s="5"/>
      <c r="J28" s="4">
        <f t="shared" si="2"/>
        <v>2530</v>
      </c>
      <c r="K28" s="5">
        <v>2530</v>
      </c>
      <c r="L28" s="4">
        <f t="shared" si="1"/>
        <v>0</v>
      </c>
      <c r="O28" s="1"/>
      <c r="P28" s="1"/>
    </row>
    <row r="29" spans="1:20" x14ac:dyDescent="0.25">
      <c r="A29" s="5" t="s">
        <v>1429</v>
      </c>
      <c r="B29" s="5">
        <v>15805</v>
      </c>
      <c r="C29" s="5"/>
      <c r="D29" s="5"/>
      <c r="E29" s="5"/>
      <c r="F29" s="5"/>
      <c r="G29" s="5"/>
      <c r="H29" s="5"/>
      <c r="I29" s="5"/>
      <c r="J29" s="4">
        <f t="shared" si="2"/>
        <v>15805</v>
      </c>
      <c r="K29" s="5">
        <v>15805</v>
      </c>
      <c r="L29" s="4">
        <f t="shared" si="1"/>
        <v>0</v>
      </c>
      <c r="O29" s="1"/>
      <c r="P29" s="1"/>
    </row>
    <row r="30" spans="1:20" x14ac:dyDescent="0.25">
      <c r="A30" s="5" t="s">
        <v>1430</v>
      </c>
      <c r="B30" s="5">
        <v>7500</v>
      </c>
      <c r="C30" s="5"/>
      <c r="D30" s="5"/>
      <c r="E30" s="5"/>
      <c r="F30" s="5"/>
      <c r="G30" s="5"/>
      <c r="H30" s="5"/>
      <c r="I30" s="5"/>
      <c r="J30" s="4">
        <f t="shared" si="2"/>
        <v>7500</v>
      </c>
      <c r="K30" s="5">
        <v>7500</v>
      </c>
      <c r="L30" s="4">
        <f t="shared" si="1"/>
        <v>0</v>
      </c>
      <c r="O30" s="1"/>
      <c r="P30" s="1"/>
    </row>
    <row r="31" spans="1:20" x14ac:dyDescent="0.25">
      <c r="A31" s="5" t="s">
        <v>1431</v>
      </c>
      <c r="B31" s="5">
        <v>2000</v>
      </c>
      <c r="C31" s="5"/>
      <c r="D31" s="5"/>
      <c r="E31" s="5"/>
      <c r="F31" s="5"/>
      <c r="G31" s="5"/>
      <c r="H31" s="5"/>
      <c r="I31" s="5"/>
      <c r="J31" s="4">
        <f t="shared" si="2"/>
        <v>2000</v>
      </c>
      <c r="K31" s="5">
        <v>2000</v>
      </c>
      <c r="L31" s="4">
        <f t="shared" si="1"/>
        <v>0</v>
      </c>
      <c r="O31" s="1"/>
      <c r="P31" s="1"/>
    </row>
    <row r="32" spans="1:20" x14ac:dyDescent="0.25">
      <c r="A32" s="5"/>
      <c r="B32" s="5"/>
      <c r="C32" s="5"/>
      <c r="D32" s="5"/>
      <c r="E32" s="5"/>
      <c r="F32" s="5"/>
      <c r="G32" s="5"/>
      <c r="H32" s="5"/>
      <c r="I32" s="5"/>
      <c r="J32" s="4">
        <f>SUM(J2:J31)</f>
        <v>876546</v>
      </c>
      <c r="K32" s="4">
        <f>SUM(K2:K31)</f>
        <v>885546</v>
      </c>
      <c r="L32" s="4">
        <f>SUM(L2:L31)</f>
        <v>9000</v>
      </c>
      <c r="O32" s="1"/>
      <c r="P32" s="1"/>
    </row>
    <row r="33" spans="3:16" x14ac:dyDescent="0.25">
      <c r="L33" s="11"/>
      <c r="O33" s="1"/>
      <c r="P33" s="1"/>
    </row>
    <row r="34" spans="3:16" x14ac:dyDescent="0.25">
      <c r="C34">
        <f>B26/5</f>
        <v>2470</v>
      </c>
      <c r="O34" s="1"/>
      <c r="P34" s="1"/>
    </row>
    <row r="35" spans="3:16" x14ac:dyDescent="0.25">
      <c r="O35" s="1"/>
      <c r="P35" s="1"/>
    </row>
    <row r="36" spans="3:16" x14ac:dyDescent="0.25">
      <c r="O36" s="1"/>
      <c r="P36" s="1"/>
    </row>
    <row r="37" spans="3:16" x14ac:dyDescent="0.25">
      <c r="O37" s="1"/>
      <c r="P37" s="1"/>
    </row>
    <row r="38" spans="3:16" x14ac:dyDescent="0.25">
      <c r="O38" s="1"/>
      <c r="P38" s="1"/>
    </row>
    <row r="39" spans="3:16" x14ac:dyDescent="0.25">
      <c r="O39" s="1" t="s">
        <v>0</v>
      </c>
      <c r="P39" s="1">
        <f>SUM(P9:P38)</f>
        <v>4690</v>
      </c>
    </row>
    <row r="62" spans="10:14" x14ac:dyDescent="0.25">
      <c r="J62" s="1" t="s">
        <v>0</v>
      </c>
      <c r="K62" s="1">
        <f>K63-SUM(K64:K80)</f>
        <v>-5000</v>
      </c>
      <c r="M62" s="1" t="s">
        <v>0</v>
      </c>
      <c r="N62" s="1">
        <f>N63-SUM(N64:N80)</f>
        <v>1200</v>
      </c>
    </row>
    <row r="63" spans="10:14" x14ac:dyDescent="0.25">
      <c r="J63" s="1" t="s">
        <v>930</v>
      </c>
      <c r="K63" s="1">
        <v>30000</v>
      </c>
      <c r="M63" s="1" t="s">
        <v>7</v>
      </c>
      <c r="N63" s="1">
        <v>7000</v>
      </c>
    </row>
    <row r="64" spans="10:14" x14ac:dyDescent="0.25">
      <c r="J64" s="1" t="s">
        <v>1432</v>
      </c>
      <c r="K64" s="1">
        <v>14000</v>
      </c>
      <c r="M64" s="1" t="s">
        <v>1338</v>
      </c>
      <c r="N64" s="1">
        <v>5700</v>
      </c>
    </row>
    <row r="65" spans="10:14" x14ac:dyDescent="0.25">
      <c r="J65" s="1" t="s">
        <v>1433</v>
      </c>
      <c r="K65" s="1">
        <v>4000</v>
      </c>
      <c r="M65" s="1" t="s">
        <v>1150</v>
      </c>
      <c r="N65" s="1">
        <v>100</v>
      </c>
    </row>
    <row r="66" spans="10:14" x14ac:dyDescent="0.25">
      <c r="J66" s="1" t="s">
        <v>915</v>
      </c>
      <c r="K66" s="1">
        <v>4000</v>
      </c>
      <c r="M66" s="1"/>
      <c r="N66" s="1"/>
    </row>
    <row r="67" spans="10:14" x14ac:dyDescent="0.25">
      <c r="J67" s="1" t="s">
        <v>1434</v>
      </c>
      <c r="K67" s="1">
        <v>2000</v>
      </c>
      <c r="M67" s="1"/>
      <c r="N67" s="1"/>
    </row>
    <row r="68" spans="10:14" x14ac:dyDescent="0.25">
      <c r="J68" s="1" t="s">
        <v>1435</v>
      </c>
      <c r="K68" s="1">
        <v>5500</v>
      </c>
      <c r="M68" s="1"/>
      <c r="N68" s="1"/>
    </row>
    <row r="69" spans="10:14" x14ac:dyDescent="0.25">
      <c r="J69" s="1" t="s">
        <v>1338</v>
      </c>
      <c r="K69" s="1">
        <v>5500</v>
      </c>
      <c r="M69" s="1"/>
      <c r="N69" s="1"/>
    </row>
    <row r="70" spans="10:14" x14ac:dyDescent="0.25">
      <c r="J70" s="1"/>
      <c r="K70" s="1"/>
      <c r="M70" s="1"/>
      <c r="N70" s="1"/>
    </row>
    <row r="71" spans="10:14" x14ac:dyDescent="0.25">
      <c r="J71" s="1"/>
      <c r="K71" s="1"/>
      <c r="M71" s="1"/>
      <c r="N71" s="1"/>
    </row>
    <row r="72" spans="10:14" x14ac:dyDescent="0.25">
      <c r="J72" s="1"/>
      <c r="K72" s="1"/>
      <c r="M72" s="1"/>
      <c r="N72" s="1"/>
    </row>
    <row r="73" spans="10:14" x14ac:dyDescent="0.25">
      <c r="J73" s="1"/>
      <c r="K73" s="1"/>
      <c r="M73" s="1"/>
      <c r="N73" s="1"/>
    </row>
    <row r="74" spans="10:14" x14ac:dyDescent="0.25">
      <c r="J74" s="1"/>
      <c r="K74" s="1"/>
      <c r="M74" s="1"/>
      <c r="N74" s="1"/>
    </row>
    <row r="75" spans="10:14" x14ac:dyDescent="0.25">
      <c r="J75" s="1"/>
      <c r="K75" s="1"/>
      <c r="M75" s="1"/>
      <c r="N75" s="1"/>
    </row>
    <row r="76" spans="10:14" x14ac:dyDescent="0.25">
      <c r="J76" s="1"/>
      <c r="K76" s="1"/>
      <c r="M76" s="1"/>
      <c r="N76" s="1"/>
    </row>
    <row r="77" spans="10:14" x14ac:dyDescent="0.25">
      <c r="J77" s="1"/>
      <c r="K77" s="1"/>
      <c r="M77" s="1"/>
      <c r="N77" s="1"/>
    </row>
    <row r="78" spans="10:14" x14ac:dyDescent="0.25">
      <c r="J78" s="1"/>
      <c r="K78" s="1"/>
      <c r="M78" s="1"/>
      <c r="N78" s="1"/>
    </row>
    <row r="79" spans="10:14" x14ac:dyDescent="0.25">
      <c r="J79" s="1"/>
      <c r="K79" s="1"/>
      <c r="M79" s="1"/>
      <c r="N79" s="1"/>
    </row>
    <row r="80" spans="10:14" x14ac:dyDescent="0.25">
      <c r="J80" s="1"/>
      <c r="K80" s="1"/>
      <c r="M80" s="1"/>
      <c r="N80" s="1"/>
    </row>
  </sheetData>
  <pageMargins left="0.7" right="0.7" top="0.75" bottom="0.75" header="0.3" footer="0.3"/>
  <pageSetup orientation="portrait" r:id="rId1"/>
  <ignoredErrors>
    <ignoredError sqref="J8" formula="1"/>
  </ignoredErrors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9"/>
  <dimension ref="A1:N17"/>
  <sheetViews>
    <sheetView workbookViewId="0">
      <selection activeCell="B20" sqref="B20"/>
    </sheetView>
  </sheetViews>
  <sheetFormatPr defaultColWidth="9.140625" defaultRowHeight="12.75" x14ac:dyDescent="0.2"/>
  <cols>
    <col min="1" max="1" width="16.5703125" style="2" bestFit="1" customWidth="1"/>
    <col min="2" max="2" width="10.28515625" style="2" bestFit="1" customWidth="1"/>
    <col min="3" max="3" width="9.140625" style="2"/>
    <col min="4" max="4" width="16" style="2" bestFit="1" customWidth="1"/>
    <col min="5" max="6" width="9.140625" style="2"/>
    <col min="7" max="7" width="19.28515625" style="2" bestFit="1" customWidth="1"/>
    <col min="8" max="8" width="11.28515625" style="2" bestFit="1" customWidth="1"/>
    <col min="9" max="9" width="9.28515625" style="2" bestFit="1" customWidth="1"/>
    <col min="10" max="10" width="9.140625" style="2"/>
    <col min="11" max="12" width="9.28515625" style="2" bestFit="1" customWidth="1"/>
    <col min="13" max="13" width="9.140625" style="2"/>
    <col min="14" max="14" width="9.28515625" style="2" bestFit="1" customWidth="1"/>
    <col min="15" max="16384" width="9.140625" style="2"/>
  </cols>
  <sheetData>
    <row r="1" spans="1:14" x14ac:dyDescent="0.2">
      <c r="A1" s="8" t="s">
        <v>18</v>
      </c>
      <c r="B1" s="9">
        <v>2200000</v>
      </c>
      <c r="G1" s="5" t="s">
        <v>1436</v>
      </c>
      <c r="H1" s="4">
        <v>16800000</v>
      </c>
      <c r="I1" s="4">
        <v>600000</v>
      </c>
    </row>
    <row r="2" spans="1:14" x14ac:dyDescent="0.2">
      <c r="A2" s="5" t="s">
        <v>916</v>
      </c>
      <c r="B2" s="4">
        <v>10500</v>
      </c>
      <c r="G2" s="5" t="s">
        <v>1437</v>
      </c>
      <c r="H2" s="4">
        <f>H1/8</f>
        <v>2100000</v>
      </c>
      <c r="I2" s="4">
        <f>I1/8</f>
        <v>75000</v>
      </c>
    </row>
    <row r="3" spans="1:14" x14ac:dyDescent="0.2">
      <c r="A3" s="5"/>
      <c r="B3" s="4"/>
      <c r="G3" s="5"/>
      <c r="H3" s="4"/>
      <c r="I3" s="4"/>
    </row>
    <row r="4" spans="1:14" x14ac:dyDescent="0.2">
      <c r="A4" s="6" t="s">
        <v>1438</v>
      </c>
      <c r="B4" s="4"/>
      <c r="G4" s="5" t="s">
        <v>1439</v>
      </c>
      <c r="H4" s="5"/>
      <c r="I4" s="4">
        <f>I2*14/100</f>
        <v>10500</v>
      </c>
    </row>
    <row r="5" spans="1:14" x14ac:dyDescent="0.2">
      <c r="A5" s="5" t="s">
        <v>1440</v>
      </c>
      <c r="B5" s="4">
        <v>440000</v>
      </c>
    </row>
    <row r="6" spans="1:14" x14ac:dyDescent="0.2">
      <c r="A6" s="5" t="s">
        <v>936</v>
      </c>
      <c r="B6" s="4">
        <v>20000</v>
      </c>
    </row>
    <row r="7" spans="1:14" x14ac:dyDescent="0.2">
      <c r="A7" s="5" t="s">
        <v>1441</v>
      </c>
      <c r="B7" s="4">
        <v>200000</v>
      </c>
    </row>
    <row r="8" spans="1:14" x14ac:dyDescent="0.2">
      <c r="A8" s="5" t="s">
        <v>1442</v>
      </c>
      <c r="B8" s="4">
        <v>500000</v>
      </c>
      <c r="K8" s="4">
        <v>1.5</v>
      </c>
      <c r="L8" s="4">
        <f>K8*4</f>
        <v>6</v>
      </c>
      <c r="M8" s="4"/>
      <c r="N8" s="4">
        <v>400000</v>
      </c>
    </row>
    <row r="9" spans="1:14" x14ac:dyDescent="0.2">
      <c r="A9" s="5" t="s">
        <v>1443</v>
      </c>
      <c r="B9" s="4">
        <v>400000</v>
      </c>
      <c r="D9" s="5" t="s">
        <v>719</v>
      </c>
      <c r="E9" s="4">
        <f>B9*1.5/100</f>
        <v>6000</v>
      </c>
      <c r="K9" s="4">
        <v>12</v>
      </c>
      <c r="L9" s="4"/>
      <c r="M9" s="4"/>
      <c r="N9" s="4"/>
    </row>
    <row r="10" spans="1:14" x14ac:dyDescent="0.2">
      <c r="A10" s="5" t="s">
        <v>1444</v>
      </c>
      <c r="B10" s="4">
        <v>200000</v>
      </c>
      <c r="D10" s="5" t="s">
        <v>1445</v>
      </c>
      <c r="E10" s="4">
        <v>24000</v>
      </c>
      <c r="K10" s="4">
        <f>K9*K8</f>
        <v>18</v>
      </c>
      <c r="L10" s="4"/>
      <c r="M10" s="4"/>
      <c r="N10" s="4"/>
    </row>
    <row r="11" spans="1:14" x14ac:dyDescent="0.2">
      <c r="A11" s="5" t="s">
        <v>919</v>
      </c>
      <c r="B11" s="4">
        <v>400000</v>
      </c>
    </row>
    <row r="12" spans="1:14" x14ac:dyDescent="0.2">
      <c r="A12" s="5"/>
      <c r="B12" s="4"/>
    </row>
    <row r="13" spans="1:14" x14ac:dyDescent="0.2">
      <c r="A13" s="5"/>
      <c r="B13" s="4"/>
    </row>
    <row r="14" spans="1:14" x14ac:dyDescent="0.2">
      <c r="A14" s="5"/>
      <c r="B14" s="4"/>
      <c r="G14" s="5" t="s">
        <v>1446</v>
      </c>
      <c r="H14" s="4">
        <v>25000</v>
      </c>
    </row>
    <row r="15" spans="1:14" x14ac:dyDescent="0.2">
      <c r="A15" s="5"/>
      <c r="B15" s="4"/>
      <c r="G15" s="5" t="s">
        <v>1447</v>
      </c>
      <c r="H15" s="4">
        <v>5000</v>
      </c>
    </row>
    <row r="16" spans="1:14" x14ac:dyDescent="0.2">
      <c r="A16" s="5"/>
      <c r="B16" s="4"/>
      <c r="G16" s="5"/>
      <c r="H16" s="4">
        <v>47500</v>
      </c>
    </row>
    <row r="17" spans="1:2" x14ac:dyDescent="0.2">
      <c r="A17" s="8" t="s">
        <v>844</v>
      </c>
      <c r="B17" s="9">
        <f>SUM((-B1),B2:B12)</f>
        <v>-29500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30"/>
  <dimension ref="A1:R42"/>
  <sheetViews>
    <sheetView zoomScale="85" zoomScaleNormal="85" workbookViewId="0">
      <selection activeCell="K31" sqref="K31"/>
    </sheetView>
  </sheetViews>
  <sheetFormatPr defaultColWidth="9.140625" defaultRowHeight="12.75" x14ac:dyDescent="0.2"/>
  <cols>
    <col min="1" max="1" width="8" style="25" bestFit="1" customWidth="1"/>
    <col min="2" max="2" width="16.5703125" style="25" bestFit="1" customWidth="1"/>
    <col min="3" max="3" width="14.140625" style="25" bestFit="1" customWidth="1"/>
    <col min="4" max="4" width="9.28515625" style="25" bestFit="1" customWidth="1"/>
    <col min="5" max="6" width="9.140625" style="25"/>
    <col min="7" max="7" width="17.7109375" style="25" bestFit="1" customWidth="1"/>
    <col min="8" max="8" width="18" style="25" bestFit="1" customWidth="1"/>
    <col min="9" max="9" width="12.28515625" style="25" bestFit="1" customWidth="1"/>
    <col min="10" max="10" width="14.28515625" style="25" bestFit="1" customWidth="1"/>
    <col min="11" max="11" width="17.28515625" style="25" bestFit="1" customWidth="1"/>
    <col min="12" max="12" width="8.5703125" style="25" bestFit="1" customWidth="1"/>
    <col min="13" max="13" width="10.7109375" style="25" bestFit="1" customWidth="1"/>
    <col min="14" max="14" width="17.5703125" style="25" bestFit="1" customWidth="1"/>
    <col min="15" max="15" width="11" style="25" bestFit="1" customWidth="1"/>
    <col min="16" max="16" width="12" style="25" bestFit="1" customWidth="1"/>
    <col min="17" max="17" width="16" style="25" bestFit="1" customWidth="1"/>
    <col min="18" max="18" width="12" style="25" bestFit="1" customWidth="1"/>
    <col min="19" max="16384" width="9.140625" style="25"/>
  </cols>
  <sheetData>
    <row r="1" spans="1:18" x14ac:dyDescent="0.2">
      <c r="A1" s="431">
        <v>2035000</v>
      </c>
      <c r="B1" s="431"/>
      <c r="C1" s="718" t="s">
        <v>1448</v>
      </c>
      <c r="D1" s="718"/>
      <c r="E1" s="431"/>
      <c r="F1" s="431"/>
      <c r="G1" s="432" t="s">
        <v>1449</v>
      </c>
      <c r="H1" s="432" t="s">
        <v>1450</v>
      </c>
      <c r="I1" s="432" t="s">
        <v>1451</v>
      </c>
      <c r="J1" s="432" t="s">
        <v>1452</v>
      </c>
      <c r="K1" s="432" t="s">
        <v>172</v>
      </c>
      <c r="L1" s="431" t="s">
        <v>554</v>
      </c>
      <c r="M1" s="431"/>
      <c r="N1" s="431"/>
      <c r="O1" s="431"/>
      <c r="P1" s="431"/>
      <c r="Q1" s="431"/>
      <c r="R1" s="431"/>
    </row>
    <row r="2" spans="1:18" x14ac:dyDescent="0.2">
      <c r="A2" s="431">
        <v>-175000</v>
      </c>
      <c r="B2" s="431" t="s">
        <v>1453</v>
      </c>
      <c r="C2" s="433" t="s">
        <v>1454</v>
      </c>
      <c r="D2" s="434">
        <v>17154</v>
      </c>
      <c r="E2" s="431"/>
      <c r="F2" s="431"/>
      <c r="G2" s="432" t="s">
        <v>317</v>
      </c>
      <c r="H2" s="428">
        <v>1500000</v>
      </c>
      <c r="I2" s="428"/>
      <c r="J2" s="428">
        <v>13.5</v>
      </c>
      <c r="K2" s="428">
        <v>34515</v>
      </c>
      <c r="L2" s="429">
        <v>60</v>
      </c>
      <c r="M2" s="431">
        <f>K2*60</f>
        <v>2070900</v>
      </c>
      <c r="N2" s="431"/>
      <c r="O2" s="431"/>
      <c r="P2" s="431"/>
      <c r="Q2" s="431"/>
      <c r="R2" s="431"/>
    </row>
    <row r="3" spans="1:18" x14ac:dyDescent="0.2">
      <c r="A3" s="431">
        <v>-2400</v>
      </c>
      <c r="B3" s="431" t="s">
        <v>1455</v>
      </c>
      <c r="C3" s="433" t="s">
        <v>1193</v>
      </c>
      <c r="D3" s="434">
        <v>16579</v>
      </c>
      <c r="E3" s="431"/>
      <c r="F3" s="431"/>
      <c r="G3" s="432" t="s">
        <v>1456</v>
      </c>
      <c r="H3" s="428">
        <v>1000000</v>
      </c>
      <c r="I3" s="428"/>
      <c r="J3" s="428">
        <v>12</v>
      </c>
      <c r="K3" s="428">
        <v>26334</v>
      </c>
      <c r="L3" s="429">
        <v>48</v>
      </c>
      <c r="M3" s="431">
        <f>K3*60</f>
        <v>1580040</v>
      </c>
      <c r="N3" s="431">
        <v>-139094</v>
      </c>
      <c r="O3" s="431"/>
      <c r="P3" s="431"/>
      <c r="Q3" s="431"/>
      <c r="R3" s="431"/>
    </row>
    <row r="4" spans="1:18" x14ac:dyDescent="0.2">
      <c r="A4" s="431">
        <v>-9600</v>
      </c>
      <c r="B4" s="431" t="s">
        <v>1457</v>
      </c>
      <c r="C4" s="432" t="s">
        <v>1195</v>
      </c>
      <c r="D4" s="428">
        <v>16579</v>
      </c>
      <c r="E4" s="431"/>
      <c r="F4" s="431"/>
      <c r="G4" s="432" t="s">
        <v>1458</v>
      </c>
      <c r="H4" s="428"/>
      <c r="I4" s="428"/>
      <c r="J4" s="428"/>
      <c r="K4" s="428">
        <v>11632</v>
      </c>
      <c r="L4" s="429">
        <v>60</v>
      </c>
      <c r="M4" s="431"/>
      <c r="N4" s="431"/>
      <c r="O4" s="431"/>
      <c r="P4" s="431"/>
      <c r="Q4" s="431"/>
      <c r="R4" s="431"/>
    </row>
    <row r="5" spans="1:18" x14ac:dyDescent="0.2">
      <c r="A5" s="431"/>
      <c r="B5" s="431" t="s">
        <v>197</v>
      </c>
      <c r="C5" s="432" t="s">
        <v>1197</v>
      </c>
      <c r="D5" s="428">
        <v>16579</v>
      </c>
      <c r="E5" s="431"/>
      <c r="F5" s="431"/>
      <c r="G5" s="432" t="s">
        <v>1459</v>
      </c>
      <c r="H5" s="428"/>
      <c r="I5" s="428"/>
      <c r="J5" s="428"/>
      <c r="K5" s="428">
        <v>0</v>
      </c>
      <c r="L5" s="429"/>
      <c r="M5" s="431"/>
      <c r="N5" s="431"/>
      <c r="O5" s="431"/>
      <c r="P5" s="431"/>
      <c r="Q5" s="431"/>
      <c r="R5" s="431"/>
    </row>
    <row r="6" spans="1:18" x14ac:dyDescent="0.2">
      <c r="A6" s="431"/>
      <c r="B6" s="431" t="s">
        <v>1460</v>
      </c>
      <c r="C6" s="432" t="s">
        <v>1199</v>
      </c>
      <c r="D6" s="428">
        <v>16579</v>
      </c>
      <c r="E6" s="431"/>
      <c r="F6" s="431"/>
      <c r="G6" s="432" t="s">
        <v>1459</v>
      </c>
      <c r="H6" s="428"/>
      <c r="I6" s="428"/>
      <c r="J6" s="428"/>
      <c r="K6" s="428">
        <v>0</v>
      </c>
      <c r="L6" s="429"/>
      <c r="M6" s="431"/>
      <c r="N6" s="431"/>
      <c r="O6" s="431"/>
      <c r="P6" s="431"/>
      <c r="Q6" s="431"/>
      <c r="R6" s="431"/>
    </row>
    <row r="7" spans="1:18" x14ac:dyDescent="0.2">
      <c r="A7" s="431"/>
      <c r="B7" s="431" t="s">
        <v>1461</v>
      </c>
      <c r="C7" s="432" t="s">
        <v>1201</v>
      </c>
      <c r="D7" s="428">
        <v>16579</v>
      </c>
      <c r="E7" s="431"/>
      <c r="F7" s="431"/>
      <c r="G7" s="432" t="s">
        <v>253</v>
      </c>
      <c r="H7" s="428"/>
      <c r="I7" s="428"/>
      <c r="J7" s="428"/>
      <c r="K7" s="428">
        <v>0</v>
      </c>
      <c r="L7" s="429"/>
      <c r="M7" s="431"/>
      <c r="N7" s="431"/>
      <c r="O7" s="431"/>
      <c r="P7" s="431"/>
      <c r="Q7" s="431">
        <v>1000000</v>
      </c>
      <c r="R7" s="431" t="s">
        <v>172</v>
      </c>
    </row>
    <row r="8" spans="1:18" x14ac:dyDescent="0.2">
      <c r="A8" s="431"/>
      <c r="B8" s="431"/>
      <c r="C8" s="432" t="s">
        <v>1203</v>
      </c>
      <c r="D8" s="428">
        <v>16579</v>
      </c>
      <c r="E8" s="431"/>
      <c r="F8" s="431"/>
      <c r="G8" s="432" t="s">
        <v>1462</v>
      </c>
      <c r="H8" s="428"/>
      <c r="I8" s="428"/>
      <c r="J8" s="428"/>
      <c r="K8" s="428">
        <v>4000</v>
      </c>
      <c r="L8" s="429"/>
      <c r="M8" s="431"/>
      <c r="N8" s="431"/>
      <c r="O8" s="431"/>
      <c r="P8" s="431" t="s">
        <v>1463</v>
      </c>
      <c r="Q8" s="431">
        <v>1264024.1000000001</v>
      </c>
      <c r="R8" s="431">
        <v>26334</v>
      </c>
    </row>
    <row r="9" spans="1:18" x14ac:dyDescent="0.2">
      <c r="A9" s="431"/>
      <c r="B9" s="431"/>
      <c r="C9" s="432" t="s">
        <v>1205</v>
      </c>
      <c r="D9" s="428">
        <v>16579</v>
      </c>
      <c r="E9" s="431"/>
      <c r="F9" s="431"/>
      <c r="G9" s="432" t="s">
        <v>1330</v>
      </c>
      <c r="H9" s="428"/>
      <c r="I9" s="428"/>
      <c r="J9" s="428"/>
      <c r="K9" s="428">
        <v>5000</v>
      </c>
      <c r="L9" s="429"/>
      <c r="M9" s="431"/>
      <c r="N9" s="431"/>
      <c r="O9" s="431"/>
      <c r="P9" s="431" t="s">
        <v>1464</v>
      </c>
      <c r="Q9" s="431">
        <v>1334666.8999999999</v>
      </c>
      <c r="R9" s="431">
        <v>22244.400000000001</v>
      </c>
    </row>
    <row r="10" spans="1:18" x14ac:dyDescent="0.2">
      <c r="A10" s="431"/>
      <c r="B10" s="431"/>
      <c r="C10" s="432" t="s">
        <v>1207</v>
      </c>
      <c r="D10" s="428">
        <v>16579</v>
      </c>
      <c r="E10" s="431"/>
      <c r="F10" s="431"/>
      <c r="G10" s="432" t="s">
        <v>1465</v>
      </c>
      <c r="H10" s="428"/>
      <c r="I10" s="428"/>
      <c r="J10" s="428"/>
      <c r="K10" s="428">
        <v>500</v>
      </c>
      <c r="L10" s="429"/>
      <c r="M10" s="431"/>
      <c r="N10" s="431"/>
      <c r="O10" s="431"/>
      <c r="P10" s="431"/>
      <c r="Q10" s="431"/>
      <c r="R10" s="431"/>
    </row>
    <row r="11" spans="1:18" x14ac:dyDescent="0.2">
      <c r="A11" s="431"/>
      <c r="B11" s="431"/>
      <c r="C11" s="432" t="s">
        <v>1208</v>
      </c>
      <c r="D11" s="428">
        <v>16579</v>
      </c>
      <c r="E11" s="431"/>
      <c r="F11" s="431"/>
      <c r="G11" s="432" t="s">
        <v>1466</v>
      </c>
      <c r="H11" s="428"/>
      <c r="I11" s="428"/>
      <c r="J11" s="428"/>
      <c r="K11" s="428"/>
      <c r="L11" s="429"/>
      <c r="M11" s="431"/>
      <c r="N11" s="431"/>
      <c r="O11" s="431"/>
      <c r="P11" s="431"/>
      <c r="Q11" s="431">
        <f>Q9-Q8</f>
        <v>70642.799999999814</v>
      </c>
      <c r="R11" s="431">
        <f>R9-R8</f>
        <v>-4089.5999999999985</v>
      </c>
    </row>
    <row r="12" spans="1:18" x14ac:dyDescent="0.2">
      <c r="A12" s="431"/>
      <c r="B12" s="431"/>
      <c r="C12" s="432" t="s">
        <v>1209</v>
      </c>
      <c r="D12" s="428">
        <v>16579</v>
      </c>
      <c r="E12" s="431"/>
      <c r="F12" s="431"/>
      <c r="G12" s="432"/>
      <c r="H12" s="428"/>
      <c r="I12" s="428"/>
      <c r="J12" s="428"/>
      <c r="K12" s="428"/>
      <c r="L12" s="429"/>
      <c r="M12" s="431"/>
      <c r="N12" s="431"/>
      <c r="O12" s="431"/>
      <c r="P12" s="431"/>
      <c r="Q12" s="431"/>
      <c r="R12" s="431"/>
    </row>
    <row r="13" spans="1:18" x14ac:dyDescent="0.2">
      <c r="A13" s="431"/>
      <c r="B13" s="431"/>
      <c r="C13" s="432" t="s">
        <v>1210</v>
      </c>
      <c r="D13" s="428">
        <v>16579</v>
      </c>
      <c r="E13" s="431"/>
      <c r="F13" s="431"/>
      <c r="G13" s="432"/>
      <c r="H13" s="428"/>
      <c r="I13" s="428"/>
      <c r="J13" s="428"/>
      <c r="K13" s="428"/>
      <c r="L13" s="429"/>
      <c r="M13" s="431"/>
      <c r="N13" s="431"/>
      <c r="O13" s="431"/>
      <c r="P13" s="431"/>
      <c r="Q13" s="431"/>
      <c r="R13" s="431"/>
    </row>
    <row r="14" spans="1:18" x14ac:dyDescent="0.2">
      <c r="A14" s="431"/>
      <c r="B14" s="431"/>
      <c r="C14" s="432" t="s">
        <v>1212</v>
      </c>
      <c r="D14" s="428">
        <v>16579</v>
      </c>
      <c r="E14" s="431"/>
      <c r="F14" s="431"/>
      <c r="G14" s="432"/>
      <c r="H14" s="428"/>
      <c r="I14" s="428"/>
      <c r="J14" s="428"/>
      <c r="K14" s="428"/>
      <c r="L14" s="429"/>
      <c r="M14" s="431"/>
      <c r="N14" s="431"/>
      <c r="O14" s="431"/>
      <c r="P14" s="431"/>
      <c r="Q14" s="431"/>
      <c r="R14" s="431"/>
    </row>
    <row r="15" spans="1:18" x14ac:dyDescent="0.2">
      <c r="A15" s="431"/>
      <c r="B15" s="431"/>
      <c r="C15" s="432" t="s">
        <v>1213</v>
      </c>
      <c r="D15" s="428">
        <v>16579</v>
      </c>
      <c r="E15" s="431"/>
      <c r="F15" s="431"/>
      <c r="G15" s="432"/>
      <c r="H15" s="428"/>
      <c r="I15" s="428"/>
      <c r="J15" s="428"/>
      <c r="K15" s="428"/>
      <c r="L15" s="429"/>
      <c r="M15" s="431"/>
      <c r="N15" s="431"/>
      <c r="O15" s="431"/>
      <c r="P15" s="431"/>
      <c r="Q15" s="431"/>
      <c r="R15" s="431"/>
    </row>
    <row r="16" spans="1:18" x14ac:dyDescent="0.2">
      <c r="A16" s="431"/>
      <c r="B16" s="431"/>
      <c r="C16" s="432" t="s">
        <v>1214</v>
      </c>
      <c r="D16" s="428">
        <v>16579</v>
      </c>
      <c r="E16" s="431"/>
      <c r="F16" s="431"/>
      <c r="G16" s="432"/>
      <c r="H16" s="428"/>
      <c r="I16" s="428"/>
      <c r="J16" s="428"/>
      <c r="K16" s="428">
        <f>SUM(K2:K15)</f>
        <v>81981</v>
      </c>
      <c r="L16" s="429"/>
      <c r="M16" s="431"/>
      <c r="N16" s="431"/>
      <c r="O16" s="431"/>
      <c r="P16" s="431"/>
      <c r="Q16" s="431"/>
      <c r="R16" s="431"/>
    </row>
    <row r="17" spans="1:18" x14ac:dyDescent="0.2">
      <c r="A17" s="431">
        <f>SUM(A1:A16)</f>
        <v>1848000</v>
      </c>
      <c r="B17" s="431">
        <v>50000</v>
      </c>
      <c r="C17" s="432" t="s">
        <v>1215</v>
      </c>
      <c r="D17" s="428">
        <v>16579</v>
      </c>
      <c r="E17" s="431"/>
      <c r="F17" s="431"/>
      <c r="G17" s="431"/>
      <c r="H17" s="429"/>
      <c r="I17" s="429"/>
      <c r="J17" s="429"/>
      <c r="K17" s="429"/>
      <c r="L17" s="429"/>
      <c r="M17" s="431"/>
      <c r="N17" s="431"/>
      <c r="O17" s="431"/>
      <c r="P17" s="431"/>
      <c r="Q17" s="431"/>
      <c r="R17" s="431"/>
    </row>
    <row r="18" spans="1:18" x14ac:dyDescent="0.2">
      <c r="A18" s="431">
        <v>-390000</v>
      </c>
      <c r="B18" s="431">
        <v>100000</v>
      </c>
      <c r="C18" s="432" t="s">
        <v>1217</v>
      </c>
      <c r="D18" s="428">
        <v>16579</v>
      </c>
      <c r="E18" s="431"/>
      <c r="F18" s="431"/>
      <c r="G18" s="431"/>
      <c r="H18" s="429"/>
      <c r="I18" s="429"/>
      <c r="J18" s="429"/>
      <c r="K18" s="429"/>
      <c r="L18" s="429"/>
      <c r="M18" s="431"/>
      <c r="N18" s="431"/>
      <c r="O18" s="431"/>
      <c r="P18" s="431"/>
      <c r="Q18" s="431"/>
      <c r="R18" s="431"/>
    </row>
    <row r="19" spans="1:18" x14ac:dyDescent="0.2">
      <c r="A19" s="431"/>
      <c r="B19" s="431">
        <v>240000</v>
      </c>
      <c r="C19" s="432" t="s">
        <v>1218</v>
      </c>
      <c r="D19" s="428">
        <v>16579</v>
      </c>
      <c r="E19" s="431"/>
      <c r="F19" s="431"/>
      <c r="G19" s="431"/>
      <c r="H19" s="429"/>
      <c r="I19" s="429"/>
      <c r="J19" s="429"/>
      <c r="K19" s="429"/>
      <c r="L19" s="429"/>
      <c r="M19" s="431"/>
      <c r="N19" s="431"/>
      <c r="O19" s="431"/>
      <c r="P19" s="431"/>
      <c r="Q19" s="431"/>
      <c r="R19" s="431"/>
    </row>
    <row r="20" spans="1:18" x14ac:dyDescent="0.2">
      <c r="A20" s="431">
        <f>SUM(A17:A19)</f>
        <v>1458000</v>
      </c>
      <c r="B20" s="431">
        <f>A20/12</f>
        <v>121500</v>
      </c>
      <c r="C20" s="432" t="s">
        <v>1219</v>
      </c>
      <c r="D20" s="428">
        <v>16579</v>
      </c>
      <c r="E20" s="431"/>
      <c r="F20" s="431"/>
      <c r="G20" s="431"/>
      <c r="H20" s="429"/>
      <c r="I20" s="429"/>
      <c r="J20" s="429"/>
      <c r="K20" s="429"/>
      <c r="L20" s="429"/>
      <c r="M20" s="431"/>
      <c r="N20" s="431"/>
      <c r="O20" s="431"/>
      <c r="P20" s="431"/>
      <c r="Q20" s="431"/>
      <c r="R20" s="431"/>
    </row>
    <row r="21" spans="1:18" x14ac:dyDescent="0.2">
      <c r="A21" s="431"/>
      <c r="B21" s="431"/>
      <c r="C21" s="432" t="s">
        <v>1220</v>
      </c>
      <c r="D21" s="428">
        <v>16579</v>
      </c>
      <c r="E21" s="431"/>
      <c r="F21" s="431"/>
      <c r="G21" s="431"/>
      <c r="H21" s="429"/>
      <c r="I21" s="429"/>
      <c r="J21" s="429"/>
      <c r="K21" s="429"/>
      <c r="L21" s="429" t="s">
        <v>1467</v>
      </c>
      <c r="M21" s="431" t="s">
        <v>1468</v>
      </c>
      <c r="N21" s="431" t="s">
        <v>1469</v>
      </c>
      <c r="O21" s="431" t="s">
        <v>1470</v>
      </c>
      <c r="P21" s="431" t="s">
        <v>18</v>
      </c>
      <c r="Q21" s="431" t="s">
        <v>1471</v>
      </c>
      <c r="R21" s="431" t="s">
        <v>1472</v>
      </c>
    </row>
    <row r="22" spans="1:18" x14ac:dyDescent="0.2">
      <c r="A22" s="431"/>
      <c r="B22" s="431"/>
      <c r="C22" s="432" t="s">
        <v>1221</v>
      </c>
      <c r="D22" s="428">
        <v>16579</v>
      </c>
      <c r="E22" s="431"/>
      <c r="F22" s="431"/>
      <c r="G22" s="435" t="s">
        <v>319</v>
      </c>
      <c r="H22" s="436">
        <v>500000</v>
      </c>
      <c r="I22" s="436"/>
      <c r="J22" s="436">
        <v>14</v>
      </c>
      <c r="K22" s="436">
        <v>11632</v>
      </c>
      <c r="L22" s="436">
        <v>28</v>
      </c>
      <c r="M22" s="435">
        <v>309186.28000000003</v>
      </c>
      <c r="N22" s="435">
        <f>M22*3/100</f>
        <v>9275.5884000000005</v>
      </c>
      <c r="O22" s="435">
        <f>N22*15/100</f>
        <v>1391.33826</v>
      </c>
      <c r="P22" s="435">
        <f>SUM(M22:O22)</f>
        <v>319853.20666000003</v>
      </c>
      <c r="Q22" s="435">
        <f>K22*(60-L22)</f>
        <v>372224</v>
      </c>
      <c r="R22" s="435">
        <f>Q22-P22</f>
        <v>52370.793339999975</v>
      </c>
    </row>
    <row r="23" spans="1:18" x14ac:dyDescent="0.2">
      <c r="A23" s="431"/>
      <c r="B23" s="431"/>
      <c r="C23" s="432" t="s">
        <v>1222</v>
      </c>
      <c r="D23" s="428">
        <v>16579</v>
      </c>
      <c r="E23" s="431"/>
      <c r="F23" s="431"/>
      <c r="G23" s="435"/>
      <c r="H23" s="436"/>
      <c r="I23" s="436"/>
      <c r="J23" s="436"/>
      <c r="K23" s="436">
        <v>11632</v>
      </c>
      <c r="L23" s="436">
        <v>36</v>
      </c>
      <c r="M23" s="435">
        <v>242288.2</v>
      </c>
      <c r="N23" s="435">
        <f>M23*2/100</f>
        <v>4845.7640000000001</v>
      </c>
      <c r="O23" s="435">
        <f>N23*15/100</f>
        <v>726.86460000000011</v>
      </c>
      <c r="P23" s="435">
        <f>SUM(M23:O23)</f>
        <v>247860.82860000001</v>
      </c>
      <c r="Q23" s="435">
        <f>K23*(60-L23)</f>
        <v>279168</v>
      </c>
      <c r="R23" s="435">
        <f>Q23-P23</f>
        <v>31307.171399999992</v>
      </c>
    </row>
    <row r="24" spans="1:18" x14ac:dyDescent="0.2">
      <c r="A24" s="431"/>
      <c r="B24" s="431"/>
      <c r="C24" s="432" t="s">
        <v>1223</v>
      </c>
      <c r="D24" s="428">
        <v>16579</v>
      </c>
      <c r="E24" s="431"/>
      <c r="F24" s="431"/>
      <c r="G24" s="431"/>
      <c r="H24" s="429"/>
      <c r="I24" s="429"/>
      <c r="J24" s="429"/>
      <c r="K24" s="429">
        <v>11632</v>
      </c>
      <c r="L24" s="429">
        <v>39</v>
      </c>
      <c r="M24" s="431">
        <v>215558.07</v>
      </c>
      <c r="N24" s="435">
        <v>0</v>
      </c>
      <c r="O24" s="435">
        <f>N24*15/100</f>
        <v>0</v>
      </c>
      <c r="P24" s="435">
        <f>SUM(M24:O24)</f>
        <v>215558.07</v>
      </c>
      <c r="Q24" s="435">
        <f>K24*(60-L24)</f>
        <v>244272</v>
      </c>
      <c r="R24" s="435">
        <f>Q24-P24</f>
        <v>28713.929999999993</v>
      </c>
    </row>
    <row r="25" spans="1:18" x14ac:dyDescent="0.2">
      <c r="A25" s="431"/>
      <c r="B25" s="431"/>
      <c r="C25" s="432" t="s">
        <v>1224</v>
      </c>
      <c r="D25" s="428">
        <v>16579</v>
      </c>
      <c r="E25" s="431"/>
      <c r="F25" s="431"/>
      <c r="G25" s="431"/>
      <c r="H25" s="429"/>
      <c r="I25" s="429"/>
      <c r="J25" s="429"/>
      <c r="K25" s="429"/>
      <c r="L25" s="429"/>
      <c r="M25" s="431"/>
      <c r="N25" s="431"/>
      <c r="O25" s="431"/>
      <c r="P25" s="431"/>
      <c r="Q25" s="431"/>
      <c r="R25" s="431"/>
    </row>
    <row r="26" spans="1:18" x14ac:dyDescent="0.2">
      <c r="A26" s="431"/>
      <c r="B26" s="431"/>
      <c r="C26" s="432" t="s">
        <v>1225</v>
      </c>
      <c r="D26" s="428">
        <v>16579</v>
      </c>
      <c r="E26" s="431"/>
      <c r="F26" s="431"/>
      <c r="G26" s="431"/>
      <c r="H26" s="429"/>
      <c r="I26" s="429"/>
      <c r="J26" s="429"/>
      <c r="K26" s="429"/>
      <c r="L26" s="429"/>
      <c r="M26" s="431"/>
      <c r="N26" s="431"/>
      <c r="O26" s="431"/>
      <c r="P26" s="431"/>
      <c r="Q26" s="431"/>
      <c r="R26" s="431"/>
    </row>
    <row r="27" spans="1:18" x14ac:dyDescent="0.2">
      <c r="A27" s="431"/>
      <c r="B27" s="431"/>
      <c r="C27" s="432" t="s">
        <v>1226</v>
      </c>
      <c r="D27" s="428">
        <v>16579</v>
      </c>
      <c r="E27" s="431"/>
      <c r="F27" s="431"/>
      <c r="G27" s="431"/>
      <c r="H27" s="429"/>
      <c r="I27" s="429"/>
      <c r="J27" s="429"/>
      <c r="K27" s="429"/>
      <c r="L27" s="429"/>
      <c r="M27" s="431"/>
      <c r="N27" s="431"/>
      <c r="O27" s="431"/>
      <c r="P27" s="431"/>
      <c r="Q27" s="431"/>
      <c r="R27" s="431"/>
    </row>
    <row r="28" spans="1:18" x14ac:dyDescent="0.2">
      <c r="A28" s="431"/>
      <c r="B28" s="431"/>
      <c r="C28" s="432" t="s">
        <v>1227</v>
      </c>
      <c r="D28" s="428">
        <v>16579</v>
      </c>
      <c r="E28" s="431"/>
      <c r="F28" s="431"/>
      <c r="G28" s="431"/>
      <c r="H28" s="429"/>
      <c r="I28" s="429"/>
      <c r="J28" s="429"/>
      <c r="K28" s="429"/>
      <c r="L28" s="429"/>
      <c r="M28" s="431"/>
      <c r="N28" s="431"/>
      <c r="O28" s="431"/>
      <c r="P28" s="431"/>
      <c r="Q28" s="431"/>
      <c r="R28" s="431"/>
    </row>
    <row r="29" spans="1:18" x14ac:dyDescent="0.2">
      <c r="A29" s="431"/>
      <c r="B29" s="431"/>
      <c r="C29" s="432" t="s">
        <v>1228</v>
      </c>
      <c r="D29" s="428">
        <v>16579</v>
      </c>
      <c r="E29" s="431"/>
      <c r="F29" s="431"/>
      <c r="G29" s="431"/>
      <c r="H29" s="429"/>
      <c r="I29" s="429"/>
      <c r="J29" s="429"/>
      <c r="K29" s="429"/>
      <c r="L29" s="429"/>
      <c r="M29" s="431"/>
      <c r="N29" s="431"/>
      <c r="O29" s="431"/>
      <c r="P29" s="431"/>
      <c r="Q29" s="431"/>
      <c r="R29" s="431"/>
    </row>
    <row r="30" spans="1:18" x14ac:dyDescent="0.2">
      <c r="A30" s="431"/>
      <c r="B30" s="431"/>
      <c r="C30" s="432" t="s">
        <v>1229</v>
      </c>
      <c r="D30" s="428">
        <v>16579</v>
      </c>
      <c r="E30" s="431"/>
      <c r="F30" s="431"/>
      <c r="G30" s="431"/>
      <c r="H30" s="429"/>
      <c r="I30" s="429"/>
      <c r="J30" s="429"/>
      <c r="K30" s="429"/>
      <c r="L30" s="429"/>
      <c r="M30" s="431"/>
      <c r="N30" s="431"/>
      <c r="O30" s="431"/>
      <c r="P30" s="431"/>
      <c r="Q30" s="431"/>
      <c r="R30" s="431"/>
    </row>
    <row r="31" spans="1:18" x14ac:dyDescent="0.2">
      <c r="A31" s="431"/>
      <c r="B31" s="431"/>
      <c r="C31" s="432" t="s">
        <v>1230</v>
      </c>
      <c r="D31" s="428">
        <v>16579</v>
      </c>
      <c r="E31" s="431"/>
      <c r="F31" s="431"/>
      <c r="G31" s="431"/>
      <c r="H31" s="431"/>
      <c r="I31" s="431"/>
      <c r="J31" s="431"/>
      <c r="K31" s="431"/>
      <c r="L31" s="431"/>
      <c r="M31" s="431"/>
      <c r="N31" s="431"/>
      <c r="O31" s="431"/>
      <c r="P31" s="431"/>
      <c r="Q31" s="431"/>
      <c r="R31" s="431"/>
    </row>
    <row r="32" spans="1:18" x14ac:dyDescent="0.2">
      <c r="A32" s="431"/>
      <c r="B32" s="431"/>
      <c r="C32" s="432" t="s">
        <v>1231</v>
      </c>
      <c r="D32" s="428">
        <v>16579</v>
      </c>
      <c r="E32" s="431"/>
      <c r="F32" s="431"/>
      <c r="G32" s="431"/>
      <c r="H32" s="431"/>
      <c r="I32" s="431"/>
      <c r="J32" s="431"/>
      <c r="K32" s="431"/>
      <c r="L32" s="431"/>
      <c r="M32" s="431"/>
      <c r="N32" s="431"/>
      <c r="O32" s="431"/>
      <c r="P32" s="431"/>
      <c r="Q32" s="431"/>
      <c r="R32" s="431"/>
    </row>
    <row r="33" spans="3:11" x14ac:dyDescent="0.2">
      <c r="C33" s="432" t="s">
        <v>1232</v>
      </c>
      <c r="D33" s="428">
        <v>16579</v>
      </c>
      <c r="E33" s="431"/>
      <c r="F33" s="431"/>
      <c r="G33" s="431"/>
      <c r="H33" s="431"/>
      <c r="I33" s="431"/>
      <c r="J33" s="431"/>
      <c r="K33" s="431"/>
    </row>
    <row r="34" spans="3:11" x14ac:dyDescent="0.2">
      <c r="C34" s="432" t="s">
        <v>1233</v>
      </c>
      <c r="D34" s="428">
        <v>16579</v>
      </c>
      <c r="E34" s="431"/>
      <c r="F34" s="431"/>
      <c r="G34" s="431"/>
      <c r="H34" s="431"/>
      <c r="I34" s="431"/>
      <c r="J34" s="431"/>
      <c r="K34" s="431"/>
    </row>
    <row r="35" spans="3:11" x14ac:dyDescent="0.2">
      <c r="C35" s="432" t="s">
        <v>1234</v>
      </c>
      <c r="D35" s="428">
        <v>16579</v>
      </c>
      <c r="E35" s="431"/>
      <c r="F35" s="431"/>
      <c r="G35" s="431"/>
      <c r="H35" s="431"/>
      <c r="I35" s="431"/>
      <c r="J35" s="431"/>
      <c r="K35" s="431"/>
    </row>
    <row r="36" spans="3:11" x14ac:dyDescent="0.2">
      <c r="C36" s="432" t="s">
        <v>1235</v>
      </c>
      <c r="D36" s="428">
        <v>16579</v>
      </c>
      <c r="E36" s="431"/>
      <c r="F36" s="431"/>
      <c r="G36" s="432" t="s">
        <v>352</v>
      </c>
      <c r="H36" s="432" t="s">
        <v>389</v>
      </c>
      <c r="I36" s="432" t="s">
        <v>1473</v>
      </c>
      <c r="J36" s="432" t="s">
        <v>1474</v>
      </c>
      <c r="K36" s="432" t="s">
        <v>1475</v>
      </c>
    </row>
    <row r="37" spans="3:11" x14ac:dyDescent="0.2">
      <c r="C37" s="432" t="s">
        <v>1236</v>
      </c>
      <c r="D37" s="428">
        <v>16579</v>
      </c>
      <c r="E37" s="431"/>
      <c r="F37" s="431"/>
      <c r="G37" s="432">
        <v>250000</v>
      </c>
      <c r="H37" s="432">
        <v>14</v>
      </c>
      <c r="I37" s="432">
        <f>H37/12</f>
        <v>1.1666666666666667</v>
      </c>
      <c r="J37" s="432">
        <f>I37/30</f>
        <v>3.888888888888889E-2</v>
      </c>
      <c r="K37" s="432">
        <f>I37*G37/100</f>
        <v>2916.666666666667</v>
      </c>
    </row>
    <row r="38" spans="3:11" x14ac:dyDescent="0.2">
      <c r="C38" s="432" t="s">
        <v>18</v>
      </c>
      <c r="D38" s="428">
        <f>SUM(D2:D37)</f>
        <v>597419</v>
      </c>
      <c r="E38" s="431"/>
      <c r="F38" s="431"/>
      <c r="G38" s="432"/>
      <c r="H38" s="432"/>
      <c r="I38" s="431"/>
      <c r="J38" s="431" t="s">
        <v>1476</v>
      </c>
      <c r="K38" s="432">
        <f>K37/30*G41</f>
        <v>1458.3333333333335</v>
      </c>
    </row>
    <row r="39" spans="3:11" x14ac:dyDescent="0.2">
      <c r="C39" s="432" t="s">
        <v>751</v>
      </c>
      <c r="D39" s="428">
        <v>500000</v>
      </c>
      <c r="E39" s="431"/>
      <c r="F39" s="431"/>
      <c r="G39" s="437">
        <v>42723</v>
      </c>
      <c r="H39" s="432"/>
      <c r="I39" s="432"/>
      <c r="J39" s="431"/>
      <c r="K39" s="432"/>
    </row>
    <row r="40" spans="3:11" x14ac:dyDescent="0.2">
      <c r="C40" s="432" t="s">
        <v>1477</v>
      </c>
      <c r="D40" s="428">
        <f>D39-D38</f>
        <v>-97419</v>
      </c>
      <c r="E40" s="431"/>
      <c r="F40" s="431"/>
      <c r="G40" s="437">
        <v>42739</v>
      </c>
      <c r="H40" s="432"/>
      <c r="I40" s="432"/>
      <c r="J40" s="431"/>
      <c r="K40" s="432"/>
    </row>
    <row r="41" spans="3:11" x14ac:dyDescent="0.2">
      <c r="C41" s="432" t="s">
        <v>1478</v>
      </c>
      <c r="D41" s="428">
        <f>D40/36</f>
        <v>-2706.0833333333335</v>
      </c>
      <c r="E41" s="431"/>
      <c r="F41" s="431"/>
      <c r="G41" s="432">
        <f>DAYS360(G39,G40)</f>
        <v>15</v>
      </c>
      <c r="H41" s="432">
        <f>G41*J37</f>
        <v>0.58333333333333337</v>
      </c>
      <c r="I41" s="432"/>
      <c r="J41" s="431"/>
      <c r="K41" s="432"/>
    </row>
    <row r="42" spans="3:11" x14ac:dyDescent="0.2">
      <c r="C42" s="431"/>
      <c r="D42" s="431"/>
      <c r="E42" s="431"/>
      <c r="F42" s="431"/>
      <c r="G42" s="432" t="s">
        <v>1479</v>
      </c>
      <c r="H42" s="432">
        <f>H41*G37/100</f>
        <v>1458.3333333333335</v>
      </c>
      <c r="I42" s="432"/>
      <c r="J42" s="431"/>
      <c r="K42" s="432"/>
    </row>
  </sheetData>
  <mergeCells count="1">
    <mergeCell ref="C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32"/>
  <dimension ref="A1:H27"/>
  <sheetViews>
    <sheetView workbookViewId="0">
      <selection activeCell="D1" sqref="D1"/>
    </sheetView>
  </sheetViews>
  <sheetFormatPr defaultColWidth="9.140625" defaultRowHeight="12" x14ac:dyDescent="0.2"/>
  <cols>
    <col min="1" max="1" width="22.140625" style="48" bestFit="1" customWidth="1"/>
    <col min="2" max="3" width="14" style="48" customWidth="1"/>
    <col min="4" max="7" width="9.140625" style="48"/>
    <col min="8" max="8" width="14.7109375" style="48" customWidth="1"/>
    <col min="9" max="16384" width="9.140625" style="48"/>
  </cols>
  <sheetData>
    <row r="1" spans="1:8" x14ac:dyDescent="0.2">
      <c r="A1" s="91"/>
      <c r="B1" s="91" t="s">
        <v>317</v>
      </c>
      <c r="C1" s="91" t="s">
        <v>1480</v>
      </c>
      <c r="D1" s="91" t="s">
        <v>1481</v>
      </c>
    </row>
    <row r="2" spans="1:8" x14ac:dyDescent="0.2">
      <c r="A2" s="91" t="s">
        <v>718</v>
      </c>
      <c r="B2" s="10">
        <v>765000</v>
      </c>
      <c r="C2" s="10">
        <v>1125000</v>
      </c>
      <c r="D2" s="10">
        <v>170000</v>
      </c>
      <c r="E2" s="86"/>
    </row>
    <row r="3" spans="1:8" x14ac:dyDescent="0.2">
      <c r="A3" s="91" t="s">
        <v>1451</v>
      </c>
      <c r="B3" s="10">
        <v>753616</v>
      </c>
      <c r="C3" s="10">
        <v>1107021</v>
      </c>
      <c r="D3" s="10">
        <v>170000</v>
      </c>
      <c r="E3" s="86"/>
      <c r="F3" s="48">
        <v>892000</v>
      </c>
      <c r="H3" s="48">
        <v>873547.85</v>
      </c>
    </row>
    <row r="4" spans="1:8" x14ac:dyDescent="0.2">
      <c r="A4" s="91" t="s">
        <v>1297</v>
      </c>
      <c r="B4" s="10"/>
      <c r="C4" s="10">
        <v>-232000</v>
      </c>
      <c r="D4" s="10"/>
      <c r="E4" s="86"/>
      <c r="F4" s="48">
        <f>F3*1.5/100</f>
        <v>13380</v>
      </c>
      <c r="G4" s="48">
        <f>F4*18/100</f>
        <v>2408.4</v>
      </c>
    </row>
    <row r="5" spans="1:8" x14ac:dyDescent="0.2">
      <c r="A5" s="91" t="s">
        <v>1482</v>
      </c>
      <c r="B5" s="10">
        <v>9562.5</v>
      </c>
      <c r="C5" s="10">
        <v>15780</v>
      </c>
      <c r="D5" s="10">
        <f>D2*1/100</f>
        <v>1700</v>
      </c>
      <c r="E5" s="86"/>
      <c r="F5" s="48">
        <v>1999</v>
      </c>
      <c r="G5" s="48">
        <v>200</v>
      </c>
    </row>
    <row r="6" spans="1:8" x14ac:dyDescent="0.2">
      <c r="A6" s="91" t="s">
        <v>254</v>
      </c>
      <c r="B6" s="10">
        <v>1721.25</v>
      </c>
      <c r="C6" s="10"/>
      <c r="D6" s="10">
        <f>D5*18/100</f>
        <v>306</v>
      </c>
      <c r="E6" s="86"/>
    </row>
    <row r="7" spans="1:8" x14ac:dyDescent="0.2">
      <c r="A7" s="91" t="s">
        <v>1483</v>
      </c>
      <c r="B7" s="10">
        <v>100</v>
      </c>
      <c r="C7" s="10">
        <v>200</v>
      </c>
      <c r="D7" s="10"/>
      <c r="E7" s="86"/>
    </row>
    <row r="8" spans="1:8" x14ac:dyDescent="0.2">
      <c r="A8" s="91" t="s">
        <v>1484</v>
      </c>
      <c r="B8" s="10">
        <f>SUM(B5:B7)</f>
        <v>11383.75</v>
      </c>
      <c r="C8" s="10">
        <f>SUM(C5:C7)</f>
        <v>15980</v>
      </c>
      <c r="D8" s="10">
        <f>SUM(D5:D7)</f>
        <v>2006</v>
      </c>
      <c r="E8" s="86"/>
    </row>
    <row r="9" spans="1:8" x14ac:dyDescent="0.2">
      <c r="A9" s="91"/>
      <c r="B9" s="10"/>
      <c r="C9" s="10"/>
      <c r="D9" s="10"/>
      <c r="E9" s="86"/>
    </row>
    <row r="10" spans="1:8" x14ac:dyDescent="0.2">
      <c r="A10" s="91" t="s">
        <v>1485</v>
      </c>
      <c r="B10" s="10">
        <f>B2-B3</f>
        <v>11384</v>
      </c>
      <c r="C10" s="10">
        <f>C2-C3</f>
        <v>17979</v>
      </c>
      <c r="D10" s="10">
        <f>D2-D3</f>
        <v>0</v>
      </c>
      <c r="E10" s="86"/>
      <c r="H10" s="113"/>
    </row>
    <row r="11" spans="1:8" x14ac:dyDescent="0.2">
      <c r="B11" s="86"/>
      <c r="C11" s="86"/>
      <c r="D11" s="86"/>
      <c r="E11" s="86"/>
    </row>
    <row r="12" spans="1:8" x14ac:dyDescent="0.2">
      <c r="B12" s="86"/>
      <c r="C12" s="86"/>
      <c r="D12" s="86"/>
      <c r="E12" s="86"/>
    </row>
    <row r="13" spans="1:8" x14ac:dyDescent="0.2">
      <c r="B13" s="86"/>
      <c r="C13" s="86"/>
      <c r="D13" s="86"/>
      <c r="E13" s="86"/>
    </row>
    <row r="14" spans="1:8" x14ac:dyDescent="0.2">
      <c r="B14" s="86"/>
      <c r="C14" s="86"/>
      <c r="D14" s="86"/>
      <c r="E14" s="86"/>
    </row>
    <row r="16" spans="1:8" x14ac:dyDescent="0.2">
      <c r="A16" s="92" t="s">
        <v>1486</v>
      </c>
      <c r="B16" s="91"/>
    </row>
    <row r="17" spans="1:2" x14ac:dyDescent="0.2">
      <c r="A17" s="91" t="s">
        <v>317</v>
      </c>
      <c r="B17" s="115">
        <v>753616</v>
      </c>
    </row>
    <row r="18" spans="1:2" x14ac:dyDescent="0.2">
      <c r="A18" s="91" t="s">
        <v>1487</v>
      </c>
      <c r="B18" s="115">
        <v>873547.85</v>
      </c>
    </row>
    <row r="19" spans="1:2" x14ac:dyDescent="0.2">
      <c r="A19" s="91" t="s">
        <v>1488</v>
      </c>
      <c r="B19" s="115">
        <v>170000</v>
      </c>
    </row>
    <row r="20" spans="1:2" x14ac:dyDescent="0.2">
      <c r="A20" s="49" t="s">
        <v>18</v>
      </c>
      <c r="B20" s="116">
        <f>SUM(B17:B19)</f>
        <v>1797163.85</v>
      </c>
    </row>
    <row r="21" spans="1:2" x14ac:dyDescent="0.2">
      <c r="A21" s="91" t="s">
        <v>1489</v>
      </c>
      <c r="B21" s="115">
        <v>-200000</v>
      </c>
    </row>
    <row r="22" spans="1:2" x14ac:dyDescent="0.2">
      <c r="A22" s="91" t="s">
        <v>1490</v>
      </c>
      <c r="B22" s="115">
        <v>-1100000</v>
      </c>
    </row>
    <row r="23" spans="1:2" x14ac:dyDescent="0.2">
      <c r="A23" s="91" t="s">
        <v>1491</v>
      </c>
      <c r="B23" s="115">
        <v>-300000</v>
      </c>
    </row>
    <row r="24" spans="1:2" x14ac:dyDescent="0.2">
      <c r="A24" s="91"/>
      <c r="B24" s="115"/>
    </row>
    <row r="25" spans="1:2" x14ac:dyDescent="0.2">
      <c r="A25" s="91"/>
      <c r="B25" s="115"/>
    </row>
    <row r="26" spans="1:2" x14ac:dyDescent="0.2">
      <c r="A26" s="91"/>
      <c r="B26" s="115"/>
    </row>
    <row r="27" spans="1:2" x14ac:dyDescent="0.2">
      <c r="A27" s="91" t="s">
        <v>0</v>
      </c>
      <c r="B27" s="115">
        <f>SUM(B20:B26)</f>
        <v>197163.85000000009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3"/>
  <dimension ref="A1:O30"/>
  <sheetViews>
    <sheetView workbookViewId="0">
      <selection activeCell="D16" sqref="D16"/>
    </sheetView>
  </sheetViews>
  <sheetFormatPr defaultColWidth="9.140625" defaultRowHeight="12.75" x14ac:dyDescent="0.2"/>
  <cols>
    <col min="1" max="1" width="19.7109375" style="2" bestFit="1" customWidth="1"/>
    <col min="2" max="2" width="12.7109375" style="2" customWidth="1"/>
    <col min="3" max="3" width="20.140625" style="2" bestFit="1" customWidth="1"/>
    <col min="4" max="4" width="21" style="2" bestFit="1" customWidth="1"/>
    <col min="5" max="10" width="9.140625" style="2"/>
    <col min="11" max="11" width="19.28515625" style="2" customWidth="1"/>
    <col min="12" max="12" width="11.28515625" style="2" bestFit="1" customWidth="1"/>
    <col min="13" max="13" width="9.7109375" style="2" bestFit="1" customWidth="1"/>
    <col min="14" max="14" width="11.7109375" style="2" bestFit="1" customWidth="1"/>
    <col min="15" max="16384" width="9.140625" style="2"/>
  </cols>
  <sheetData>
    <row r="1" spans="1:14" x14ac:dyDescent="0.2">
      <c r="A1" s="2" t="s">
        <v>1492</v>
      </c>
    </row>
    <row r="2" spans="1:14" x14ac:dyDescent="0.2">
      <c r="A2" s="2">
        <v>2016</v>
      </c>
      <c r="B2" s="2" t="s">
        <v>317</v>
      </c>
      <c r="C2" s="2" t="s">
        <v>1365</v>
      </c>
      <c r="D2" s="2" t="s">
        <v>1493</v>
      </c>
    </row>
    <row r="3" spans="1:14" x14ac:dyDescent="0.2">
      <c r="A3" s="2" t="s">
        <v>1494</v>
      </c>
      <c r="B3" s="124">
        <v>1478431</v>
      </c>
      <c r="C3" s="124">
        <v>1000000</v>
      </c>
      <c r="D3" s="124"/>
    </row>
    <row r="4" spans="1:14" ht="25.5" x14ac:dyDescent="0.2">
      <c r="A4" s="2" t="s">
        <v>1495</v>
      </c>
      <c r="B4" s="124">
        <f>34515*12</f>
        <v>414180</v>
      </c>
      <c r="C4" s="124">
        <f>26334*12</f>
        <v>316008</v>
      </c>
      <c r="D4" s="124">
        <f>34515+26334</f>
        <v>60849</v>
      </c>
      <c r="K4" s="125" t="s">
        <v>1496</v>
      </c>
      <c r="L4" s="126">
        <v>1265179</v>
      </c>
      <c r="M4" s="126">
        <v>798210.79</v>
      </c>
      <c r="N4" s="124">
        <v>-2100000</v>
      </c>
    </row>
    <row r="5" spans="1:14" x14ac:dyDescent="0.2">
      <c r="A5" s="2" t="s">
        <v>1497</v>
      </c>
      <c r="B5" s="124"/>
      <c r="C5" s="124"/>
      <c r="D5" s="124"/>
      <c r="L5" s="2" t="s">
        <v>317</v>
      </c>
      <c r="M5" s="2" t="s">
        <v>1365</v>
      </c>
    </row>
    <row r="6" spans="1:14" x14ac:dyDescent="0.2">
      <c r="A6" s="2" t="s">
        <v>1498</v>
      </c>
      <c r="B6" s="124"/>
      <c r="C6" s="124"/>
      <c r="D6" s="124"/>
      <c r="K6" s="2" t="s">
        <v>837</v>
      </c>
      <c r="L6" s="124">
        <v>34515</v>
      </c>
      <c r="M6" s="124">
        <v>26334</v>
      </c>
      <c r="N6" s="124"/>
    </row>
    <row r="7" spans="1:14" x14ac:dyDescent="0.2">
      <c r="B7" s="124"/>
      <c r="C7" s="124"/>
      <c r="D7" s="124"/>
      <c r="K7" s="2" t="s">
        <v>839</v>
      </c>
      <c r="L7" s="124">
        <v>34515</v>
      </c>
      <c r="M7" s="124">
        <v>26334</v>
      </c>
      <c r="N7" s="124"/>
    </row>
    <row r="8" spans="1:14" x14ac:dyDescent="0.2">
      <c r="B8" s="124"/>
      <c r="C8" s="124"/>
      <c r="D8" s="124"/>
      <c r="K8" s="2" t="s">
        <v>842</v>
      </c>
      <c r="L8" s="124">
        <v>34515</v>
      </c>
      <c r="M8" s="124">
        <v>26334</v>
      </c>
      <c r="N8" s="124"/>
    </row>
    <row r="9" spans="1:14" x14ac:dyDescent="0.2">
      <c r="B9" s="124"/>
      <c r="C9" s="124"/>
      <c r="D9" s="124"/>
      <c r="K9" s="2" t="s">
        <v>845</v>
      </c>
      <c r="L9" s="124">
        <v>34515</v>
      </c>
      <c r="M9" s="124">
        <v>26334</v>
      </c>
      <c r="N9" s="124"/>
    </row>
    <row r="10" spans="1:14" x14ac:dyDescent="0.2">
      <c r="B10" s="124"/>
      <c r="C10" s="719" t="s">
        <v>1499</v>
      </c>
      <c r="D10" s="720"/>
      <c r="E10" s="720"/>
      <c r="F10" s="721"/>
      <c r="K10" s="2" t="s">
        <v>847</v>
      </c>
      <c r="L10" s="124">
        <v>34515</v>
      </c>
      <c r="M10" s="124">
        <v>26334</v>
      </c>
      <c r="N10" s="124"/>
    </row>
    <row r="11" spans="1:14" x14ac:dyDescent="0.2">
      <c r="B11" s="124"/>
      <c r="C11" s="163" t="s">
        <v>415</v>
      </c>
      <c r="D11" s="163">
        <v>29857</v>
      </c>
      <c r="E11" s="163"/>
      <c r="F11" s="5"/>
      <c r="K11" s="2" t="s">
        <v>848</v>
      </c>
      <c r="L11" s="124">
        <v>34515</v>
      </c>
      <c r="M11" s="124">
        <v>26334</v>
      </c>
      <c r="N11" s="124"/>
    </row>
    <row r="12" spans="1:14" x14ac:dyDescent="0.2">
      <c r="B12" s="124"/>
      <c r="C12" s="163"/>
      <c r="D12" s="163"/>
      <c r="E12" s="5"/>
      <c r="F12" s="5"/>
      <c r="K12" s="2" t="s">
        <v>850</v>
      </c>
      <c r="L12" s="124">
        <v>34515</v>
      </c>
      <c r="M12" s="124">
        <v>26334</v>
      </c>
      <c r="N12" s="124"/>
    </row>
    <row r="13" spans="1:14" x14ac:dyDescent="0.2">
      <c r="B13" s="124"/>
      <c r="C13" s="163"/>
      <c r="D13" s="163"/>
      <c r="E13" s="5"/>
      <c r="F13" s="5"/>
      <c r="K13" s="2" t="s">
        <v>851</v>
      </c>
      <c r="L13" s="124">
        <v>34515</v>
      </c>
      <c r="M13" s="124">
        <v>26334</v>
      </c>
      <c r="N13" s="124"/>
    </row>
    <row r="14" spans="1:14" x14ac:dyDescent="0.2">
      <c r="B14" s="124"/>
      <c r="C14" s="163" t="s">
        <v>1500</v>
      </c>
      <c r="D14" s="163">
        <v>2178</v>
      </c>
      <c r="E14" s="5"/>
      <c r="F14" s="5"/>
      <c r="K14" s="2" t="s">
        <v>852</v>
      </c>
      <c r="L14" s="124">
        <v>34515</v>
      </c>
      <c r="M14" s="124">
        <v>26334</v>
      </c>
      <c r="N14" s="124"/>
    </row>
    <row r="15" spans="1:14" x14ac:dyDescent="0.2">
      <c r="B15" s="124"/>
      <c r="C15" s="163" t="s">
        <v>1501</v>
      </c>
      <c r="D15" s="163">
        <v>1900</v>
      </c>
      <c r="E15" s="5"/>
      <c r="F15" s="5"/>
      <c r="K15" s="2" t="s">
        <v>853</v>
      </c>
      <c r="L15" s="124">
        <v>34515</v>
      </c>
      <c r="M15" s="124">
        <v>26334</v>
      </c>
      <c r="N15" s="124"/>
    </row>
    <row r="16" spans="1:14" x14ac:dyDescent="0.2">
      <c r="B16" s="124"/>
      <c r="C16" s="163" t="s">
        <v>1466</v>
      </c>
      <c r="D16" s="163">
        <v>2000</v>
      </c>
      <c r="E16" s="5"/>
      <c r="F16" s="5"/>
      <c r="K16" s="2" t="s">
        <v>854</v>
      </c>
      <c r="L16" s="124">
        <v>34515</v>
      </c>
      <c r="M16" s="124">
        <v>26334</v>
      </c>
      <c r="N16" s="124"/>
    </row>
    <row r="17" spans="2:15" x14ac:dyDescent="0.2">
      <c r="B17" s="124"/>
      <c r="C17" s="163"/>
      <c r="D17" s="163"/>
      <c r="E17" s="5"/>
      <c r="F17" s="5"/>
      <c r="K17" s="2" t="s">
        <v>565</v>
      </c>
      <c r="L17" s="124">
        <v>34515</v>
      </c>
      <c r="M17" s="124">
        <v>26334</v>
      </c>
      <c r="N17" s="124"/>
    </row>
    <row r="18" spans="2:15" x14ac:dyDescent="0.2">
      <c r="B18" s="124"/>
      <c r="C18" s="163" t="s">
        <v>1502</v>
      </c>
      <c r="D18" s="163">
        <v>6101.62</v>
      </c>
      <c r="E18" s="5"/>
      <c r="F18" s="5"/>
      <c r="K18" s="2" t="s">
        <v>837</v>
      </c>
      <c r="L18" s="124">
        <v>11386</v>
      </c>
      <c r="M18" s="124">
        <v>7902</v>
      </c>
      <c r="N18" s="124"/>
      <c r="O18" s="2" t="s">
        <v>1503</v>
      </c>
    </row>
    <row r="19" spans="2:15" x14ac:dyDescent="0.2">
      <c r="B19" s="124"/>
      <c r="C19" s="163" t="s">
        <v>1504</v>
      </c>
      <c r="D19" s="163">
        <v>310</v>
      </c>
      <c r="E19" s="5"/>
      <c r="F19" s="5"/>
      <c r="K19" s="2" t="s">
        <v>839</v>
      </c>
      <c r="L19" s="124">
        <v>54276</v>
      </c>
      <c r="M19" s="124"/>
      <c r="N19" s="124"/>
    </row>
    <row r="20" spans="2:15" x14ac:dyDescent="0.2">
      <c r="B20" s="124"/>
      <c r="C20" s="163" t="s">
        <v>1505</v>
      </c>
      <c r="D20" s="163">
        <v>100</v>
      </c>
      <c r="E20" s="5"/>
      <c r="F20" s="5"/>
      <c r="K20" s="2" t="s">
        <v>842</v>
      </c>
      <c r="L20" s="124">
        <v>54276</v>
      </c>
      <c r="M20" s="124"/>
      <c r="N20" s="124"/>
    </row>
    <row r="21" spans="2:15" x14ac:dyDescent="0.2">
      <c r="B21" s="124"/>
      <c r="C21" s="163" t="s">
        <v>1506</v>
      </c>
      <c r="D21" s="163">
        <v>150</v>
      </c>
      <c r="E21" s="5"/>
      <c r="F21" s="5"/>
      <c r="K21" s="2" t="s">
        <v>845</v>
      </c>
      <c r="L21" s="124">
        <v>54276</v>
      </c>
      <c r="M21" s="124"/>
      <c r="N21" s="124"/>
    </row>
    <row r="22" spans="2:15" x14ac:dyDescent="0.2">
      <c r="B22" s="124"/>
      <c r="C22" s="163" t="s">
        <v>1507</v>
      </c>
      <c r="D22" s="163">
        <v>330</v>
      </c>
      <c r="E22" s="5"/>
      <c r="F22" s="5"/>
      <c r="K22" s="2" t="s">
        <v>847</v>
      </c>
      <c r="L22" s="124">
        <v>54276</v>
      </c>
      <c r="M22" s="124"/>
      <c r="N22" s="124"/>
    </row>
    <row r="23" spans="2:15" x14ac:dyDescent="0.2">
      <c r="B23" s="124"/>
      <c r="C23" s="163" t="s">
        <v>1508</v>
      </c>
      <c r="D23" s="163">
        <v>588</v>
      </c>
      <c r="E23" s="5"/>
      <c r="F23" s="5"/>
      <c r="K23" s="2" t="s">
        <v>848</v>
      </c>
      <c r="L23" s="124">
        <v>54276</v>
      </c>
      <c r="M23" s="124"/>
      <c r="N23" s="124"/>
    </row>
    <row r="24" spans="2:15" x14ac:dyDescent="0.2">
      <c r="B24" s="124"/>
      <c r="C24" s="163" t="s">
        <v>1509</v>
      </c>
      <c r="D24" s="163">
        <v>6944.1</v>
      </c>
      <c r="E24" s="5"/>
      <c r="F24" s="5"/>
      <c r="K24" s="2" t="s">
        <v>850</v>
      </c>
      <c r="L24" s="124">
        <v>54276</v>
      </c>
      <c r="M24" s="124"/>
      <c r="N24" s="124"/>
    </row>
    <row r="25" spans="2:15" x14ac:dyDescent="0.2">
      <c r="B25" s="124"/>
      <c r="C25" s="163" t="s">
        <v>1510</v>
      </c>
      <c r="D25" s="163">
        <v>2900</v>
      </c>
      <c r="E25" s="5"/>
      <c r="F25" s="5"/>
      <c r="K25" s="2" t="s">
        <v>851</v>
      </c>
      <c r="L25" s="124">
        <v>54276</v>
      </c>
      <c r="M25" s="124"/>
      <c r="N25" s="124"/>
    </row>
    <row r="26" spans="2:15" x14ac:dyDescent="0.2">
      <c r="B26" s="124"/>
      <c r="C26" s="163"/>
      <c r="D26" s="163"/>
      <c r="E26" s="5"/>
      <c r="F26" s="5"/>
      <c r="K26" s="2" t="s">
        <v>852</v>
      </c>
      <c r="L26" s="124">
        <v>54276</v>
      </c>
      <c r="M26" s="124"/>
      <c r="N26" s="124"/>
    </row>
    <row r="27" spans="2:15" x14ac:dyDescent="0.2">
      <c r="C27" s="5" t="s">
        <v>1511</v>
      </c>
      <c r="D27" s="5">
        <v>295</v>
      </c>
      <c r="E27" s="5"/>
      <c r="F27" s="5"/>
      <c r="K27" s="2" t="s">
        <v>853</v>
      </c>
      <c r="L27" s="124">
        <v>54276</v>
      </c>
      <c r="M27" s="124"/>
      <c r="N27" s="124"/>
    </row>
    <row r="28" spans="2:15" x14ac:dyDescent="0.2">
      <c r="C28" s="5" t="s">
        <v>1512</v>
      </c>
      <c r="D28" s="5">
        <v>498</v>
      </c>
      <c r="E28" s="5"/>
      <c r="F28" s="5"/>
      <c r="K28" s="2" t="s">
        <v>854</v>
      </c>
      <c r="L28" s="124">
        <v>54276</v>
      </c>
      <c r="M28" s="124"/>
      <c r="N28" s="124"/>
    </row>
    <row r="29" spans="2:15" x14ac:dyDescent="0.2">
      <c r="C29" s="5"/>
      <c r="D29" s="5"/>
      <c r="E29" s="5"/>
      <c r="F29" s="5"/>
      <c r="K29" s="2" t="s">
        <v>565</v>
      </c>
      <c r="L29" s="124">
        <v>54276</v>
      </c>
      <c r="M29" s="124"/>
      <c r="N29" s="124"/>
    </row>
    <row r="30" spans="2:15" x14ac:dyDescent="0.2">
      <c r="C30" s="5" t="s">
        <v>18</v>
      </c>
      <c r="D30" s="163">
        <f>SUM(D11:D29)</f>
        <v>54151.72</v>
      </c>
      <c r="E30" s="5"/>
      <c r="F30" s="5"/>
      <c r="K30" s="2" t="s">
        <v>837</v>
      </c>
      <c r="L30" s="124"/>
      <c r="M30" s="124"/>
      <c r="N30" s="124"/>
    </row>
  </sheetData>
  <mergeCells count="1">
    <mergeCell ref="C10:F10"/>
  </mergeCells>
  <pageMargins left="0.7" right="0.7" top="0.75" bottom="0.75" header="0.3" footer="0.3"/>
  <pageSetup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4"/>
  <dimension ref="A1:G67"/>
  <sheetViews>
    <sheetView workbookViewId="0">
      <selection activeCell="D17" sqref="D17"/>
    </sheetView>
  </sheetViews>
  <sheetFormatPr defaultColWidth="9.140625" defaultRowHeight="12.75" x14ac:dyDescent="0.2"/>
  <cols>
    <col min="1" max="1" width="13.28515625" style="2" bestFit="1" customWidth="1"/>
    <col min="2" max="2" width="13.5703125" style="2" bestFit="1" customWidth="1"/>
    <col min="3" max="3" width="13.28515625" style="2" bestFit="1" customWidth="1"/>
    <col min="4" max="5" width="9.140625" style="2"/>
    <col min="6" max="7" width="12.7109375" style="2" customWidth="1"/>
    <col min="8" max="16384" width="9.140625" style="2"/>
  </cols>
  <sheetData>
    <row r="1" spans="1:7" x14ac:dyDescent="0.2">
      <c r="A1" s="8" t="s">
        <v>208</v>
      </c>
      <c r="B1" s="8" t="s">
        <v>1513</v>
      </c>
      <c r="C1" s="8" t="s">
        <v>1514</v>
      </c>
      <c r="D1" s="170"/>
      <c r="E1" s="170"/>
      <c r="F1" s="8" t="s">
        <v>1515</v>
      </c>
      <c r="G1" s="8" t="s">
        <v>1516</v>
      </c>
    </row>
    <row r="2" spans="1:7" x14ac:dyDescent="0.2">
      <c r="A2" s="153">
        <v>42248</v>
      </c>
      <c r="B2" s="101">
        <v>3040</v>
      </c>
      <c r="C2" s="101">
        <v>1790</v>
      </c>
      <c r="F2" s="154">
        <f>SUM(B2:B67)</f>
        <v>442155</v>
      </c>
      <c r="G2" s="154">
        <f>SUM(C2:C67)</f>
        <v>328227</v>
      </c>
    </row>
    <row r="3" spans="1:7" x14ac:dyDescent="0.2">
      <c r="A3" s="171" t="s">
        <v>1517</v>
      </c>
      <c r="B3" s="101">
        <v>48347</v>
      </c>
      <c r="C3" s="101">
        <v>33399</v>
      </c>
      <c r="F3" s="722">
        <f>SUM(F2:G2)</f>
        <v>770382</v>
      </c>
      <c r="G3" s="722"/>
    </row>
    <row r="4" spans="1:7" x14ac:dyDescent="0.2">
      <c r="A4" s="153">
        <v>42278</v>
      </c>
      <c r="B4" s="101">
        <v>4800</v>
      </c>
      <c r="C4" s="101">
        <v>3550</v>
      </c>
    </row>
    <row r="5" spans="1:7" x14ac:dyDescent="0.2">
      <c r="A5" s="171" t="s">
        <v>1518</v>
      </c>
      <c r="B5" s="101">
        <v>123397</v>
      </c>
      <c r="C5" s="101">
        <v>93627</v>
      </c>
    </row>
    <row r="6" spans="1:7" x14ac:dyDescent="0.2">
      <c r="A6" s="153">
        <v>42309</v>
      </c>
      <c r="B6" s="101">
        <v>4800</v>
      </c>
      <c r="C6" s="101">
        <v>3550</v>
      </c>
    </row>
    <row r="7" spans="1:7" x14ac:dyDescent="0.2">
      <c r="A7" s="153">
        <v>42339</v>
      </c>
      <c r="B7" s="101">
        <v>4604</v>
      </c>
      <c r="C7" s="101">
        <v>3390</v>
      </c>
    </row>
    <row r="8" spans="1:7" x14ac:dyDescent="0.2">
      <c r="A8" s="153">
        <v>42370</v>
      </c>
      <c r="B8" s="101">
        <v>4800</v>
      </c>
      <c r="C8" s="101">
        <v>3550</v>
      </c>
    </row>
    <row r="9" spans="1:7" x14ac:dyDescent="0.2">
      <c r="A9" s="153">
        <v>42401</v>
      </c>
      <c r="B9" s="101">
        <v>4800</v>
      </c>
      <c r="C9" s="101">
        <v>3550</v>
      </c>
    </row>
    <row r="10" spans="1:7" x14ac:dyDescent="0.2">
      <c r="A10" s="171" t="s">
        <v>1519</v>
      </c>
      <c r="B10" s="101">
        <v>1930</v>
      </c>
      <c r="C10" s="101">
        <v>1350</v>
      </c>
    </row>
    <row r="11" spans="1:7" x14ac:dyDescent="0.2">
      <c r="A11" s="153">
        <v>42430</v>
      </c>
      <c r="B11" s="101">
        <v>4800</v>
      </c>
      <c r="C11" s="101">
        <v>3550</v>
      </c>
    </row>
    <row r="12" spans="1:7" x14ac:dyDescent="0.2">
      <c r="A12" s="171" t="s">
        <v>1520</v>
      </c>
      <c r="B12" s="101">
        <v>6298</v>
      </c>
      <c r="C12" s="101">
        <v>4779</v>
      </c>
    </row>
    <row r="13" spans="1:7" x14ac:dyDescent="0.2">
      <c r="A13" s="171" t="s">
        <v>17</v>
      </c>
      <c r="B13" s="101">
        <v>6956</v>
      </c>
      <c r="C13" s="101">
        <v>5123</v>
      </c>
    </row>
    <row r="14" spans="1:7" x14ac:dyDescent="0.2">
      <c r="A14" s="153">
        <v>42461</v>
      </c>
      <c r="B14" s="101">
        <v>4800</v>
      </c>
      <c r="C14" s="101">
        <v>3550</v>
      </c>
    </row>
    <row r="15" spans="1:7" x14ac:dyDescent="0.2">
      <c r="A15" s="153">
        <v>42491</v>
      </c>
      <c r="B15" s="101">
        <v>4800</v>
      </c>
      <c r="C15" s="101">
        <v>3550</v>
      </c>
    </row>
    <row r="16" spans="1:7" x14ac:dyDescent="0.2">
      <c r="A16" s="153">
        <v>42522</v>
      </c>
      <c r="B16" s="101">
        <v>4920</v>
      </c>
      <c r="C16" s="101">
        <v>3670</v>
      </c>
    </row>
    <row r="17" spans="1:3" x14ac:dyDescent="0.2">
      <c r="A17" s="153">
        <v>42552</v>
      </c>
      <c r="B17" s="101">
        <v>4920</v>
      </c>
      <c r="C17" s="101">
        <v>3670</v>
      </c>
    </row>
    <row r="18" spans="1:3" x14ac:dyDescent="0.2">
      <c r="A18" s="153">
        <v>42583</v>
      </c>
      <c r="B18" s="101">
        <v>4920</v>
      </c>
      <c r="C18" s="101">
        <v>3670</v>
      </c>
    </row>
    <row r="19" spans="1:3" x14ac:dyDescent="0.2">
      <c r="A19" s="153">
        <v>42614</v>
      </c>
      <c r="B19" s="101">
        <v>4920</v>
      </c>
      <c r="C19" s="101">
        <v>3670</v>
      </c>
    </row>
    <row r="20" spans="1:3" x14ac:dyDescent="0.2">
      <c r="A20" s="153">
        <v>42644</v>
      </c>
      <c r="B20" s="101">
        <v>4920</v>
      </c>
      <c r="C20" s="101">
        <v>3670</v>
      </c>
    </row>
    <row r="21" spans="1:3" x14ac:dyDescent="0.2">
      <c r="A21" s="153">
        <v>42675</v>
      </c>
      <c r="B21" s="101">
        <v>4920</v>
      </c>
      <c r="C21" s="101">
        <v>3670</v>
      </c>
    </row>
    <row r="22" spans="1:3" x14ac:dyDescent="0.2">
      <c r="A22" s="153">
        <v>42705</v>
      </c>
      <c r="B22" s="101">
        <v>4920</v>
      </c>
      <c r="C22" s="101">
        <v>3670</v>
      </c>
    </row>
    <row r="23" spans="1:3" x14ac:dyDescent="0.2">
      <c r="A23" s="153">
        <v>42736</v>
      </c>
      <c r="B23" s="101">
        <v>4920</v>
      </c>
      <c r="C23" s="101">
        <v>3670</v>
      </c>
    </row>
    <row r="24" spans="1:3" x14ac:dyDescent="0.2">
      <c r="A24" s="153">
        <v>42767</v>
      </c>
      <c r="B24" s="101">
        <v>4920</v>
      </c>
      <c r="C24" s="101">
        <v>3670</v>
      </c>
    </row>
    <row r="25" spans="1:3" x14ac:dyDescent="0.2">
      <c r="A25" s="153">
        <v>42795</v>
      </c>
      <c r="B25" s="101">
        <v>4920</v>
      </c>
      <c r="C25" s="101">
        <v>3670</v>
      </c>
    </row>
    <row r="26" spans="1:3" x14ac:dyDescent="0.2">
      <c r="A26" s="171" t="s">
        <v>1521</v>
      </c>
      <c r="B26" s="101">
        <v>21232</v>
      </c>
      <c r="C26" s="101">
        <v>15672</v>
      </c>
    </row>
    <row r="27" spans="1:3" x14ac:dyDescent="0.2">
      <c r="A27" s="153">
        <v>42826</v>
      </c>
      <c r="B27" s="101">
        <v>4920</v>
      </c>
      <c r="C27" s="101">
        <v>3670</v>
      </c>
    </row>
    <row r="28" spans="1:3" x14ac:dyDescent="0.2">
      <c r="A28" s="153">
        <v>42856</v>
      </c>
      <c r="B28" s="101">
        <v>4980</v>
      </c>
      <c r="C28" s="101">
        <v>3730</v>
      </c>
    </row>
    <row r="29" spans="1:3" x14ac:dyDescent="0.2">
      <c r="A29" s="153">
        <v>42887</v>
      </c>
      <c r="B29" s="101">
        <v>4980</v>
      </c>
      <c r="C29" s="101">
        <v>3730</v>
      </c>
    </row>
    <row r="30" spans="1:3" x14ac:dyDescent="0.2">
      <c r="A30" s="153">
        <v>42917</v>
      </c>
      <c r="B30" s="101">
        <v>4980</v>
      </c>
      <c r="C30" s="101">
        <v>3730</v>
      </c>
    </row>
    <row r="31" spans="1:3" x14ac:dyDescent="0.2">
      <c r="A31" s="153">
        <v>42948</v>
      </c>
      <c r="B31" s="101">
        <v>4980</v>
      </c>
      <c r="C31" s="101">
        <v>3730</v>
      </c>
    </row>
    <row r="32" spans="1:3" x14ac:dyDescent="0.2">
      <c r="A32" s="153">
        <v>42979</v>
      </c>
      <c r="B32" s="101">
        <v>4980</v>
      </c>
      <c r="C32" s="101">
        <v>3730</v>
      </c>
    </row>
    <row r="33" spans="1:3" x14ac:dyDescent="0.2">
      <c r="A33" s="153">
        <v>43009</v>
      </c>
      <c r="B33" s="101">
        <v>4980</v>
      </c>
      <c r="C33" s="101">
        <v>3730</v>
      </c>
    </row>
    <row r="34" spans="1:3" x14ac:dyDescent="0.2">
      <c r="A34" s="153">
        <v>43040</v>
      </c>
      <c r="B34" s="101">
        <v>4980</v>
      </c>
      <c r="C34" s="101">
        <v>3730</v>
      </c>
    </row>
    <row r="35" spans="1:3" x14ac:dyDescent="0.2">
      <c r="A35" s="153">
        <v>43070</v>
      </c>
      <c r="B35" s="101">
        <v>4980</v>
      </c>
      <c r="C35" s="101">
        <v>3730</v>
      </c>
    </row>
    <row r="36" spans="1:3" x14ac:dyDescent="0.2">
      <c r="A36" s="153">
        <v>43101</v>
      </c>
      <c r="B36" s="101">
        <v>4980</v>
      </c>
      <c r="C36" s="101">
        <v>3730</v>
      </c>
    </row>
    <row r="37" spans="1:3" x14ac:dyDescent="0.2">
      <c r="A37" s="153">
        <v>43132</v>
      </c>
      <c r="B37" s="101">
        <v>4980</v>
      </c>
      <c r="C37" s="101">
        <v>3730</v>
      </c>
    </row>
    <row r="38" spans="1:3" x14ac:dyDescent="0.2">
      <c r="A38" s="153">
        <v>43160</v>
      </c>
      <c r="B38" s="101">
        <v>4980</v>
      </c>
      <c r="C38" s="101">
        <v>3730</v>
      </c>
    </row>
    <row r="39" spans="1:3" x14ac:dyDescent="0.2">
      <c r="A39" s="171" t="s">
        <v>1521</v>
      </c>
      <c r="B39" s="101">
        <v>27871</v>
      </c>
      <c r="C39" s="101">
        <v>20617</v>
      </c>
    </row>
    <row r="40" spans="1:3" x14ac:dyDescent="0.2">
      <c r="A40" s="153">
        <v>43191</v>
      </c>
      <c r="B40" s="101">
        <v>4980</v>
      </c>
      <c r="C40" s="101">
        <v>3730</v>
      </c>
    </row>
    <row r="41" spans="1:3" x14ac:dyDescent="0.2">
      <c r="A41" s="153">
        <v>43221</v>
      </c>
      <c r="B41" s="101">
        <v>5100</v>
      </c>
      <c r="C41" s="101">
        <v>3850</v>
      </c>
    </row>
    <row r="42" spans="1:3" x14ac:dyDescent="0.2">
      <c r="A42" s="153">
        <v>43252</v>
      </c>
      <c r="B42" s="101">
        <v>5100</v>
      </c>
      <c r="C42" s="101">
        <v>3850</v>
      </c>
    </row>
    <row r="43" spans="1:3" x14ac:dyDescent="0.2">
      <c r="A43" s="153">
        <v>43282</v>
      </c>
      <c r="B43" s="101">
        <v>5100</v>
      </c>
      <c r="C43" s="101">
        <v>3850</v>
      </c>
    </row>
    <row r="44" spans="1:3" x14ac:dyDescent="0.2">
      <c r="A44" s="153">
        <v>43313</v>
      </c>
      <c r="B44" s="101">
        <v>5100</v>
      </c>
      <c r="C44" s="101">
        <v>3850</v>
      </c>
    </row>
    <row r="45" spans="1:3" x14ac:dyDescent="0.2">
      <c r="A45" s="153">
        <v>43344</v>
      </c>
      <c r="B45" s="101">
        <v>5100</v>
      </c>
      <c r="C45" s="101">
        <v>3850</v>
      </c>
    </row>
    <row r="46" spans="1:3" x14ac:dyDescent="0.2">
      <c r="A46" s="153">
        <v>43374</v>
      </c>
      <c r="B46" s="101">
        <v>5100</v>
      </c>
      <c r="C46" s="101">
        <v>3850</v>
      </c>
    </row>
    <row r="47" spans="1:3" x14ac:dyDescent="0.2">
      <c r="A47" s="153">
        <v>43405</v>
      </c>
      <c r="B47" s="101">
        <v>5100</v>
      </c>
      <c r="C47" s="101">
        <v>3850</v>
      </c>
    </row>
    <row r="48" spans="1:3" x14ac:dyDescent="0.2">
      <c r="A48" s="153">
        <v>43435</v>
      </c>
      <c r="B48" s="101">
        <v>5100</v>
      </c>
      <c r="C48" s="101">
        <v>3850</v>
      </c>
    </row>
    <row r="49" spans="1:3" x14ac:dyDescent="0.2">
      <c r="A49" s="153">
        <v>43466</v>
      </c>
      <c r="B49" s="101">
        <v>5100</v>
      </c>
      <c r="C49" s="101">
        <v>3850</v>
      </c>
    </row>
    <row r="50" spans="1:3" x14ac:dyDescent="0.2">
      <c r="A50" s="153">
        <v>43497</v>
      </c>
      <c r="B50" s="101">
        <v>5100</v>
      </c>
      <c r="C50" s="101">
        <v>3850</v>
      </c>
    </row>
    <row r="51" spans="1:3" x14ac:dyDescent="0.2">
      <c r="A51" s="5"/>
      <c r="B51" s="101"/>
      <c r="C51" s="101"/>
    </row>
    <row r="52" spans="1:3" x14ac:dyDescent="0.2">
      <c r="A52" s="5"/>
      <c r="B52" s="101"/>
      <c r="C52" s="101"/>
    </row>
    <row r="53" spans="1:3" x14ac:dyDescent="0.2">
      <c r="A53" s="5"/>
      <c r="B53" s="101"/>
      <c r="C53" s="101"/>
    </row>
    <row r="54" spans="1:3" x14ac:dyDescent="0.2">
      <c r="A54" s="5"/>
      <c r="B54" s="101"/>
      <c r="C54" s="101"/>
    </row>
    <row r="55" spans="1:3" x14ac:dyDescent="0.2">
      <c r="A55" s="5"/>
      <c r="B55" s="101"/>
      <c r="C55" s="101"/>
    </row>
    <row r="56" spans="1:3" x14ac:dyDescent="0.2">
      <c r="A56" s="5"/>
      <c r="B56" s="101"/>
      <c r="C56" s="101"/>
    </row>
    <row r="57" spans="1:3" x14ac:dyDescent="0.2">
      <c r="A57" s="5"/>
      <c r="B57" s="101"/>
      <c r="C57" s="101"/>
    </row>
    <row r="58" spans="1:3" x14ac:dyDescent="0.2">
      <c r="A58" s="5"/>
      <c r="B58" s="101"/>
      <c r="C58" s="101"/>
    </row>
    <row r="59" spans="1:3" x14ac:dyDescent="0.2">
      <c r="A59" s="5"/>
      <c r="B59" s="101"/>
      <c r="C59" s="101"/>
    </row>
    <row r="60" spans="1:3" x14ac:dyDescent="0.2">
      <c r="A60" s="5"/>
      <c r="B60" s="101"/>
      <c r="C60" s="101"/>
    </row>
    <row r="61" spans="1:3" x14ac:dyDescent="0.2">
      <c r="A61" s="5"/>
      <c r="B61" s="101"/>
      <c r="C61" s="101"/>
    </row>
    <row r="62" spans="1:3" x14ac:dyDescent="0.2">
      <c r="A62" s="5"/>
      <c r="B62" s="101"/>
      <c r="C62" s="101"/>
    </row>
    <row r="63" spans="1:3" x14ac:dyDescent="0.2">
      <c r="A63" s="5"/>
      <c r="B63" s="101"/>
      <c r="C63" s="101"/>
    </row>
    <row r="64" spans="1:3" x14ac:dyDescent="0.2">
      <c r="A64" s="5"/>
      <c r="B64" s="101"/>
      <c r="C64" s="101"/>
    </row>
    <row r="65" spans="1:3" x14ac:dyDescent="0.2">
      <c r="A65" s="5"/>
      <c r="B65" s="101"/>
      <c r="C65" s="101"/>
    </row>
    <row r="66" spans="1:3" x14ac:dyDescent="0.2">
      <c r="A66" s="5"/>
      <c r="B66" s="101"/>
      <c r="C66" s="101"/>
    </row>
    <row r="67" spans="1:3" x14ac:dyDescent="0.2">
      <c r="A67" s="5"/>
      <c r="B67" s="101"/>
      <c r="C67" s="101"/>
    </row>
  </sheetData>
  <mergeCells count="1">
    <mergeCell ref="F3:G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190-2E26-4C5C-9C50-DB9955CA1FAB}">
  <sheetPr codeName="Sheet4"/>
  <dimension ref="A1:AJ247"/>
  <sheetViews>
    <sheetView topLeftCell="A22" zoomScaleNormal="100" workbookViewId="0">
      <selection activeCell="D170" sqref="D170"/>
    </sheetView>
  </sheetViews>
  <sheetFormatPr defaultColWidth="9.140625" defaultRowHeight="10.5" x14ac:dyDescent="0.15"/>
  <cols>
    <col min="1" max="1" width="10.7109375" style="187" bestFit="1" customWidth="1"/>
    <col min="2" max="2" width="8.5703125" style="187" bestFit="1" customWidth="1"/>
    <col min="3" max="3" width="12.140625" style="187" bestFit="1" customWidth="1"/>
    <col min="4" max="4" width="10.42578125" style="187" bestFit="1" customWidth="1"/>
    <col min="5" max="5" width="7.7109375" style="187" bestFit="1" customWidth="1"/>
    <col min="6" max="6" width="15.5703125" style="187" bestFit="1" customWidth="1"/>
    <col min="7" max="7" width="9.140625" style="187" bestFit="1" customWidth="1"/>
    <col min="8" max="8" width="6.28515625" style="187" bestFit="1" customWidth="1"/>
    <col min="9" max="9" width="9.5703125" style="187" bestFit="1" customWidth="1"/>
    <col min="10" max="10" width="6.28515625" style="187" bestFit="1" customWidth="1"/>
    <col min="11" max="11" width="9.5703125" style="187" bestFit="1" customWidth="1"/>
    <col min="12" max="12" width="10.85546875" style="187" bestFit="1" customWidth="1"/>
    <col min="13" max="13" width="9.5703125" style="187" bestFit="1" customWidth="1"/>
    <col min="14" max="14" width="5.7109375" style="187" bestFit="1" customWidth="1"/>
    <col min="15" max="15" width="7.5703125" style="187" bestFit="1" customWidth="1"/>
    <col min="16" max="17" width="4.7109375" style="187" bestFit="1" customWidth="1"/>
    <col min="18" max="18" width="12.140625" style="187" bestFit="1" customWidth="1"/>
    <col min="19" max="19" width="9.140625" style="187" bestFit="1" customWidth="1"/>
    <col min="20" max="20" width="10.140625" style="187" bestFit="1" customWidth="1"/>
    <col min="21" max="21" width="7.28515625" style="187" bestFit="1" customWidth="1"/>
    <col min="22" max="22" width="9.140625" style="187" bestFit="1" customWidth="1"/>
    <col min="23" max="23" width="6.28515625" style="187" bestFit="1" customWidth="1"/>
    <col min="24" max="24" width="11.28515625" style="187" bestFit="1" customWidth="1"/>
    <col min="25" max="25" width="11.42578125" style="187" bestFit="1" customWidth="1"/>
    <col min="26" max="26" width="7.5703125" style="187" bestFit="1" customWidth="1"/>
    <col min="27" max="27" width="10.7109375" style="187" bestFit="1" customWidth="1"/>
    <col min="28" max="28" width="6.28515625" style="187" bestFit="1" customWidth="1"/>
    <col min="29" max="29" width="9.140625" style="187" bestFit="1" customWidth="1"/>
    <col min="30" max="30" width="8.5703125" style="187" bestFit="1" customWidth="1"/>
    <col min="31" max="31" width="9.140625" style="187" bestFit="1" customWidth="1"/>
    <col min="32" max="32" width="8.5703125" style="187" bestFit="1" customWidth="1"/>
    <col min="33" max="33" width="3.85546875" style="187" bestFit="1" customWidth="1"/>
    <col min="34" max="34" width="1.85546875" style="187" bestFit="1" customWidth="1"/>
    <col min="35" max="35" width="7.5703125" style="187" bestFit="1" customWidth="1"/>
    <col min="36" max="36" width="3.85546875" style="187" bestFit="1" customWidth="1"/>
    <col min="37" max="37" width="8.85546875" style="187" bestFit="1" customWidth="1"/>
    <col min="38" max="38" width="5.5703125" style="187" bestFit="1" customWidth="1"/>
    <col min="39" max="39" width="5.85546875" style="187" bestFit="1" customWidth="1"/>
    <col min="40" max="40" width="8.85546875" style="187" bestFit="1" customWidth="1"/>
    <col min="41" max="16384" width="9.140625" style="187"/>
  </cols>
  <sheetData>
    <row r="1" spans="1:30" ht="21" x14ac:dyDescent="0.15">
      <c r="A1" s="150"/>
      <c r="B1" s="190" t="s">
        <v>259</v>
      </c>
      <c r="C1" s="193" t="s">
        <v>216</v>
      </c>
      <c r="D1" s="193"/>
      <c r="F1" s="150" t="s">
        <v>260</v>
      </c>
      <c r="G1" s="151">
        <v>203205.06</v>
      </c>
      <c r="W1" s="150" t="s">
        <v>235</v>
      </c>
      <c r="X1" s="150" t="s">
        <v>261</v>
      </c>
      <c r="Y1" s="150" t="s">
        <v>262</v>
      </c>
    </row>
    <row r="2" spans="1:30" x14ac:dyDescent="0.15">
      <c r="A2" s="189">
        <v>43873</v>
      </c>
      <c r="B2" s="150">
        <v>368.14</v>
      </c>
      <c r="F2" s="150" t="s">
        <v>263</v>
      </c>
      <c r="G2" s="151">
        <v>59039.81</v>
      </c>
      <c r="R2" s="150" t="s">
        <v>264</v>
      </c>
      <c r="S2" s="150" t="s">
        <v>265</v>
      </c>
      <c r="T2" s="150" t="s">
        <v>266</v>
      </c>
      <c r="W2" s="199">
        <v>43951</v>
      </c>
      <c r="X2" s="150">
        <v>8810.5499999999993</v>
      </c>
      <c r="Y2" s="150"/>
    </row>
    <row r="3" spans="1:30" x14ac:dyDescent="0.15">
      <c r="A3" s="189">
        <v>43874</v>
      </c>
      <c r="B3" s="150">
        <v>1847.82</v>
      </c>
      <c r="F3" s="150" t="s">
        <v>267</v>
      </c>
      <c r="G3" s="150">
        <v>12695.18</v>
      </c>
      <c r="H3" s="191"/>
      <c r="R3" s="151">
        <v>8527.9599999999991</v>
      </c>
      <c r="S3" s="151">
        <v>7705.06</v>
      </c>
      <c r="T3" s="151">
        <v>23.6</v>
      </c>
      <c r="W3" s="199">
        <v>43952</v>
      </c>
      <c r="X3" s="150">
        <v>7115.98</v>
      </c>
      <c r="Y3" s="150">
        <f>X2-X3</f>
        <v>1694.5699999999997</v>
      </c>
    </row>
    <row r="4" spans="1:30" x14ac:dyDescent="0.15">
      <c r="A4" s="189">
        <v>43875</v>
      </c>
      <c r="B4" s="150">
        <v>3352.84</v>
      </c>
      <c r="F4" s="150"/>
      <c r="G4" s="150"/>
      <c r="R4" s="151"/>
      <c r="S4" s="151">
        <v>7988.41</v>
      </c>
      <c r="T4" s="151">
        <v>7</v>
      </c>
      <c r="W4" s="150"/>
      <c r="X4" s="150"/>
      <c r="Y4" s="150"/>
      <c r="AC4" s="187">
        <v>680</v>
      </c>
    </row>
    <row r="5" spans="1:30" x14ac:dyDescent="0.15">
      <c r="A5" s="189">
        <v>43878</v>
      </c>
      <c r="B5" s="150">
        <v>1574.65</v>
      </c>
      <c r="F5" s="150"/>
      <c r="G5" s="150"/>
      <c r="R5" s="151"/>
      <c r="S5" s="151">
        <v>421.52</v>
      </c>
      <c r="T5" s="151">
        <v>7</v>
      </c>
      <c r="W5" s="150"/>
      <c r="X5" s="150"/>
      <c r="Y5" s="150"/>
      <c r="AC5" s="187">
        <v>6200</v>
      </c>
      <c r="AD5" s="187">
        <v>6550</v>
      </c>
    </row>
    <row r="6" spans="1:30" x14ac:dyDescent="0.15">
      <c r="A6" s="189">
        <v>43879</v>
      </c>
      <c r="B6" s="150">
        <v>3151.24</v>
      </c>
      <c r="F6" s="150" t="s">
        <v>216</v>
      </c>
      <c r="G6" s="151">
        <f>SUM(G2:G5)-G1</f>
        <v>-131470.07</v>
      </c>
      <c r="R6" s="151"/>
      <c r="S6" s="151">
        <v>3944.55</v>
      </c>
      <c r="T6" s="151">
        <v>7</v>
      </c>
      <c r="W6" s="150"/>
      <c r="X6" s="150"/>
      <c r="Y6" s="150"/>
      <c r="AC6" s="187">
        <v>810</v>
      </c>
    </row>
    <row r="7" spans="1:30" x14ac:dyDescent="0.15">
      <c r="A7" s="189">
        <v>43880</v>
      </c>
      <c r="B7" s="150">
        <v>3595.17</v>
      </c>
      <c r="R7" s="151"/>
      <c r="S7" s="151">
        <v>543.45000000000005</v>
      </c>
      <c r="T7" s="151">
        <v>23.6</v>
      </c>
      <c r="W7" s="150"/>
      <c r="X7" s="150"/>
      <c r="Y7" s="150"/>
      <c r="AC7" s="187">
        <v>100</v>
      </c>
    </row>
    <row r="8" spans="1:30" x14ac:dyDescent="0.15">
      <c r="A8" s="189">
        <v>43881</v>
      </c>
      <c r="B8" s="150">
        <v>6990.46</v>
      </c>
      <c r="F8" s="188" t="s">
        <v>268</v>
      </c>
      <c r="G8" s="188" t="s">
        <v>212</v>
      </c>
      <c r="H8" s="188" t="s">
        <v>269</v>
      </c>
      <c r="I8" s="188" t="s">
        <v>270</v>
      </c>
      <c r="J8" s="188" t="s">
        <v>271</v>
      </c>
      <c r="K8" s="188" t="s">
        <v>270</v>
      </c>
      <c r="L8" s="188" t="s">
        <v>272</v>
      </c>
      <c r="M8" s="188" t="s">
        <v>216</v>
      </c>
      <c r="R8" s="151">
        <v>7869.05</v>
      </c>
      <c r="S8" s="151">
        <v>3823.57</v>
      </c>
      <c r="T8" s="151">
        <v>23.6</v>
      </c>
      <c r="W8" s="150"/>
      <c r="X8" s="150"/>
      <c r="Y8" s="150"/>
    </row>
    <row r="9" spans="1:30" x14ac:dyDescent="0.15">
      <c r="A9" s="189">
        <v>43885</v>
      </c>
      <c r="B9" s="150">
        <v>2264.14</v>
      </c>
      <c r="C9" s="187">
        <v>-7058.2</v>
      </c>
      <c r="F9" s="150" t="s">
        <v>273</v>
      </c>
      <c r="G9" s="150">
        <v>1500</v>
      </c>
      <c r="H9" s="201">
        <v>611.5</v>
      </c>
      <c r="I9" s="201">
        <f t="shared" ref="I9:I16" si="0">H9*G9</f>
        <v>917250</v>
      </c>
      <c r="J9" s="201">
        <v>612</v>
      </c>
      <c r="K9" s="201">
        <f t="shared" ref="K9:K16" si="1">J9*G9</f>
        <v>918000</v>
      </c>
      <c r="L9" s="201">
        <v>349.84</v>
      </c>
      <c r="M9" s="201">
        <f t="shared" ref="M9:M16" si="2">K9-I9-L9</f>
        <v>400.16</v>
      </c>
      <c r="O9" s="187">
        <v>30</v>
      </c>
      <c r="R9" s="151">
        <v>2810.15</v>
      </c>
      <c r="S9" s="151">
        <v>708.14</v>
      </c>
      <c r="T9" s="151">
        <v>23.6</v>
      </c>
      <c r="W9" s="150"/>
      <c r="X9" s="150"/>
      <c r="Y9" s="150"/>
    </row>
    <row r="10" spans="1:30" x14ac:dyDescent="0.15">
      <c r="A10" s="189">
        <v>43886</v>
      </c>
      <c r="B10" s="150">
        <v>2705.71</v>
      </c>
      <c r="C10" s="187">
        <v>-16038</v>
      </c>
      <c r="F10" s="150" t="s">
        <v>219</v>
      </c>
      <c r="G10" s="150">
        <v>900</v>
      </c>
      <c r="H10" s="201">
        <v>98.41</v>
      </c>
      <c r="I10" s="201">
        <f t="shared" si="0"/>
        <v>88569</v>
      </c>
      <c r="J10" s="201">
        <v>98.4</v>
      </c>
      <c r="K10" s="201">
        <f t="shared" si="1"/>
        <v>88560</v>
      </c>
      <c r="L10" s="201">
        <v>50.1</v>
      </c>
      <c r="M10" s="201">
        <f t="shared" si="2"/>
        <v>-59.1</v>
      </c>
      <c r="O10" s="187">
        <v>20</v>
      </c>
      <c r="R10" s="151">
        <v>11555.35</v>
      </c>
      <c r="S10" s="151">
        <v>4407.82</v>
      </c>
      <c r="T10" s="151">
        <v>7</v>
      </c>
      <c r="W10" s="150"/>
      <c r="X10" s="150"/>
      <c r="Y10" s="150"/>
      <c r="AB10" s="209">
        <v>43951</v>
      </c>
    </row>
    <row r="11" spans="1:30" x14ac:dyDescent="0.15">
      <c r="A11" s="189"/>
      <c r="B11" s="150"/>
      <c r="F11" s="205" t="s">
        <v>274</v>
      </c>
      <c r="G11" s="205">
        <v>300</v>
      </c>
      <c r="H11" s="201">
        <v>0</v>
      </c>
      <c r="I11" s="201">
        <f t="shared" si="0"/>
        <v>0</v>
      </c>
      <c r="J11" s="201">
        <v>904</v>
      </c>
      <c r="K11" s="201">
        <f t="shared" si="1"/>
        <v>271200</v>
      </c>
      <c r="L11" s="201">
        <v>102.21</v>
      </c>
      <c r="M11" s="201">
        <f t="shared" si="2"/>
        <v>271097.78999999998</v>
      </c>
      <c r="O11" s="187">
        <v>59</v>
      </c>
      <c r="R11" s="151">
        <v>2000</v>
      </c>
      <c r="S11" s="151">
        <v>11292.84</v>
      </c>
      <c r="T11" s="151">
        <v>7</v>
      </c>
      <c r="W11" s="150"/>
      <c r="X11" s="150"/>
      <c r="Y11" s="150"/>
      <c r="AB11" s="187" t="s">
        <v>275</v>
      </c>
      <c r="AC11" s="187">
        <v>6225.05</v>
      </c>
    </row>
    <row r="12" spans="1:30" x14ac:dyDescent="0.15">
      <c r="A12" s="189"/>
      <c r="B12" s="150"/>
      <c r="F12" s="205" t="s">
        <v>274</v>
      </c>
      <c r="G12" s="205">
        <v>270</v>
      </c>
      <c r="H12" s="201">
        <v>0</v>
      </c>
      <c r="I12" s="201">
        <f t="shared" si="0"/>
        <v>0</v>
      </c>
      <c r="J12" s="201">
        <v>914</v>
      </c>
      <c r="K12" s="201">
        <f t="shared" si="1"/>
        <v>246780</v>
      </c>
      <c r="L12" s="201">
        <v>95.13</v>
      </c>
      <c r="M12" s="201">
        <f t="shared" si="2"/>
        <v>246684.87</v>
      </c>
      <c r="O12" s="187">
        <v>29</v>
      </c>
      <c r="R12" s="151"/>
      <c r="S12" s="151">
        <v>28566.31</v>
      </c>
      <c r="T12" s="151"/>
      <c r="W12" s="150"/>
      <c r="X12" s="150"/>
      <c r="Y12" s="150"/>
      <c r="AB12" s="209">
        <v>43952</v>
      </c>
    </row>
    <row r="13" spans="1:30" x14ac:dyDescent="0.15">
      <c r="A13" s="189"/>
      <c r="B13" s="150"/>
      <c r="F13" s="205" t="s">
        <v>274</v>
      </c>
      <c r="G13" s="205">
        <v>570</v>
      </c>
      <c r="H13" s="201">
        <v>911.63</v>
      </c>
      <c r="I13" s="201">
        <f t="shared" si="0"/>
        <v>519629.1</v>
      </c>
      <c r="J13" s="201"/>
      <c r="K13" s="201">
        <f t="shared" si="1"/>
        <v>0</v>
      </c>
      <c r="L13" s="201">
        <v>44.31</v>
      </c>
      <c r="M13" s="201">
        <f t="shared" si="2"/>
        <v>-519673.41</v>
      </c>
      <c r="O13" s="187">
        <v>1</v>
      </c>
      <c r="R13" s="151"/>
      <c r="S13" s="151">
        <v>8380.17</v>
      </c>
      <c r="T13" s="151"/>
      <c r="W13" s="150"/>
      <c r="X13" s="150"/>
      <c r="Y13" s="150"/>
    </row>
    <row r="14" spans="1:30" x14ac:dyDescent="0.15">
      <c r="A14" s="189"/>
      <c r="B14" s="150"/>
      <c r="F14" s="205" t="s">
        <v>274</v>
      </c>
      <c r="G14" s="150">
        <v>41</v>
      </c>
      <c r="H14" s="201">
        <v>907</v>
      </c>
      <c r="I14" s="201">
        <f t="shared" si="0"/>
        <v>37187</v>
      </c>
      <c r="J14" s="201">
        <v>910.73</v>
      </c>
      <c r="K14" s="201">
        <f t="shared" si="1"/>
        <v>37339.93</v>
      </c>
      <c r="L14" s="201">
        <v>21.09</v>
      </c>
      <c r="M14" s="201">
        <f t="shared" si="2"/>
        <v>131.84000000000029</v>
      </c>
      <c r="R14" s="151"/>
      <c r="S14" s="151">
        <v>11690.46</v>
      </c>
      <c r="T14" s="151"/>
      <c r="W14" s="150"/>
      <c r="X14" s="150"/>
      <c r="Y14" s="150"/>
    </row>
    <row r="15" spans="1:30" x14ac:dyDescent="0.15">
      <c r="A15" s="189"/>
      <c r="B15" s="150"/>
      <c r="F15" s="205" t="s">
        <v>274</v>
      </c>
      <c r="G15" s="150">
        <v>500</v>
      </c>
      <c r="H15" s="201">
        <v>909</v>
      </c>
      <c r="I15" s="201">
        <f t="shared" si="0"/>
        <v>454500</v>
      </c>
      <c r="J15" s="201">
        <v>906.03</v>
      </c>
      <c r="K15" s="201">
        <f t="shared" si="1"/>
        <v>453015</v>
      </c>
      <c r="L15" s="201"/>
      <c r="M15" s="201">
        <f t="shared" si="2"/>
        <v>-1485</v>
      </c>
      <c r="R15" s="151"/>
      <c r="S15" s="151">
        <v>9322.34</v>
      </c>
      <c r="T15" s="151"/>
      <c r="W15" s="150"/>
      <c r="X15" s="150"/>
      <c r="Y15" s="150"/>
    </row>
    <row r="16" spans="1:30" x14ac:dyDescent="0.15">
      <c r="A16" s="189"/>
      <c r="B16" s="150"/>
      <c r="F16" s="205" t="s">
        <v>274</v>
      </c>
      <c r="G16" s="150">
        <v>155</v>
      </c>
      <c r="H16" s="201">
        <v>909</v>
      </c>
      <c r="I16" s="201">
        <f t="shared" si="0"/>
        <v>140895</v>
      </c>
      <c r="J16" s="201">
        <v>910</v>
      </c>
      <c r="K16" s="201">
        <f t="shared" si="1"/>
        <v>141050</v>
      </c>
      <c r="L16" s="201"/>
      <c r="M16" s="201">
        <f t="shared" si="2"/>
        <v>155</v>
      </c>
      <c r="R16" s="151"/>
      <c r="S16" s="151">
        <v>18743.71</v>
      </c>
      <c r="T16" s="151"/>
      <c r="W16" s="150"/>
      <c r="X16" s="150"/>
      <c r="Y16" s="150"/>
    </row>
    <row r="17" spans="1:32" x14ac:dyDescent="0.15">
      <c r="A17" s="189"/>
      <c r="B17" s="150"/>
      <c r="F17" s="150" t="s">
        <v>276</v>
      </c>
      <c r="G17" s="150">
        <v>500</v>
      </c>
      <c r="H17" s="201">
        <v>298.85000000000002</v>
      </c>
      <c r="I17" s="201">
        <f t="shared" ref="I17:I24" si="3">H17*G17</f>
        <v>149425</v>
      </c>
      <c r="J17" s="201"/>
      <c r="K17" s="201">
        <f t="shared" ref="K17:K24" si="4">J17*G17</f>
        <v>0</v>
      </c>
      <c r="L17" s="201">
        <v>23.58</v>
      </c>
      <c r="M17" s="201">
        <f t="shared" ref="M17:M24" si="5">K17-I17-L17</f>
        <v>-149448.57999999999</v>
      </c>
      <c r="R17" s="151"/>
      <c r="S17" s="151">
        <v>11692.23</v>
      </c>
      <c r="T17" s="151"/>
      <c r="W17" s="150"/>
      <c r="X17" s="150"/>
      <c r="Y17" s="150"/>
    </row>
    <row r="18" spans="1:32" x14ac:dyDescent="0.15">
      <c r="A18" s="189"/>
      <c r="B18" s="150"/>
      <c r="F18" s="150"/>
      <c r="G18" s="150">
        <v>400</v>
      </c>
      <c r="H18" s="201">
        <v>297.3</v>
      </c>
      <c r="I18" s="201">
        <f t="shared" si="3"/>
        <v>118920</v>
      </c>
      <c r="J18" s="201"/>
      <c r="K18" s="201">
        <f t="shared" si="4"/>
        <v>0</v>
      </c>
      <c r="L18" s="201">
        <v>18.77</v>
      </c>
      <c r="M18" s="201">
        <f t="shared" si="5"/>
        <v>-118938.77</v>
      </c>
      <c r="R18" s="151"/>
      <c r="S18" s="151">
        <v>18363.63</v>
      </c>
      <c r="T18" s="151"/>
      <c r="W18" s="150"/>
      <c r="X18" s="150"/>
      <c r="Y18" s="150"/>
      <c r="Z18" s="187">
        <v>6977.55</v>
      </c>
    </row>
    <row r="19" spans="1:32" x14ac:dyDescent="0.15">
      <c r="A19" s="189"/>
      <c r="B19" s="150"/>
      <c r="F19" s="150"/>
      <c r="G19" s="150">
        <v>1800</v>
      </c>
      <c r="H19" s="201"/>
      <c r="I19" s="201">
        <f t="shared" si="3"/>
        <v>0</v>
      </c>
      <c r="J19" s="201">
        <v>295.73</v>
      </c>
      <c r="K19" s="201">
        <f t="shared" si="4"/>
        <v>532314</v>
      </c>
      <c r="L19" s="201">
        <v>177.89</v>
      </c>
      <c r="M19" s="201">
        <f t="shared" si="5"/>
        <v>532136.11</v>
      </c>
      <c r="R19" s="151"/>
      <c r="S19" s="151">
        <v>-4700</v>
      </c>
      <c r="T19" s="151"/>
      <c r="W19" s="150"/>
      <c r="X19" s="150"/>
      <c r="Y19" s="150"/>
      <c r="Z19" s="187" t="s">
        <v>277</v>
      </c>
      <c r="AA19" s="187" t="s">
        <v>278</v>
      </c>
    </row>
    <row r="20" spans="1:32" x14ac:dyDescent="0.15">
      <c r="A20" s="189"/>
      <c r="B20" s="150"/>
      <c r="F20" s="150"/>
      <c r="G20" s="150">
        <v>900</v>
      </c>
      <c r="H20" s="201">
        <v>295.5</v>
      </c>
      <c r="I20" s="201">
        <f t="shared" si="3"/>
        <v>265950</v>
      </c>
      <c r="J20" s="201"/>
      <c r="K20" s="201">
        <f t="shared" si="4"/>
        <v>0</v>
      </c>
      <c r="L20" s="201">
        <v>34.200000000000003</v>
      </c>
      <c r="M20" s="201">
        <f t="shared" si="5"/>
        <v>-265984.2</v>
      </c>
      <c r="R20" s="151"/>
      <c r="S20" s="151">
        <v>32879.07</v>
      </c>
      <c r="T20" s="151"/>
      <c r="W20" s="150"/>
      <c r="X20" s="150"/>
      <c r="Y20" s="150"/>
      <c r="Z20" s="187">
        <v>-454.4</v>
      </c>
      <c r="AA20" s="187">
        <v>-2825.85</v>
      </c>
    </row>
    <row r="21" spans="1:32" x14ac:dyDescent="0.15">
      <c r="A21" s="189"/>
      <c r="B21" s="150"/>
      <c r="F21" s="150" t="s">
        <v>250</v>
      </c>
      <c r="G21" s="150">
        <v>1500</v>
      </c>
      <c r="H21" s="201"/>
      <c r="I21" s="201">
        <f t="shared" si="3"/>
        <v>0</v>
      </c>
      <c r="J21" s="201">
        <v>60.25</v>
      </c>
      <c r="K21" s="201">
        <f t="shared" si="4"/>
        <v>90375</v>
      </c>
      <c r="L21" s="201">
        <v>93.99</v>
      </c>
      <c r="M21" s="201">
        <f t="shared" si="5"/>
        <v>90281.01</v>
      </c>
      <c r="R21" s="151"/>
      <c r="S21" s="191">
        <v>401639.33</v>
      </c>
      <c r="T21" s="151"/>
      <c r="W21" s="150"/>
      <c r="X21" s="150"/>
      <c r="Y21" s="150"/>
      <c r="Z21" s="187">
        <v>-805</v>
      </c>
      <c r="AA21" s="187">
        <v>750</v>
      </c>
    </row>
    <row r="22" spans="1:32" x14ac:dyDescent="0.15">
      <c r="A22" s="189"/>
      <c r="B22" s="150"/>
      <c r="F22" s="150" t="s">
        <v>230</v>
      </c>
      <c r="G22" s="150">
        <v>1150</v>
      </c>
      <c r="H22" s="201"/>
      <c r="I22" s="201">
        <f t="shared" si="3"/>
        <v>0</v>
      </c>
      <c r="J22" s="201">
        <v>156.5</v>
      </c>
      <c r="K22" s="201">
        <f t="shared" si="4"/>
        <v>179975</v>
      </c>
      <c r="L22" s="201">
        <v>187.14</v>
      </c>
      <c r="M22" s="201">
        <f t="shared" si="5"/>
        <v>179787.86</v>
      </c>
      <c r="R22" s="151"/>
      <c r="S22" s="151">
        <v>43131.31</v>
      </c>
      <c r="T22" s="151"/>
      <c r="W22" s="150"/>
      <c r="X22" s="150"/>
      <c r="Y22" s="150"/>
      <c r="Z22" s="187">
        <v>-1650</v>
      </c>
      <c r="AA22" s="187">
        <v>-1986</v>
      </c>
    </row>
    <row r="23" spans="1:32" x14ac:dyDescent="0.15">
      <c r="A23" s="189"/>
      <c r="B23" s="150"/>
      <c r="F23" s="150" t="s">
        <v>279</v>
      </c>
      <c r="G23" s="150">
        <v>2272</v>
      </c>
      <c r="H23" s="201"/>
      <c r="I23" s="201">
        <f t="shared" si="3"/>
        <v>0</v>
      </c>
      <c r="J23" s="201">
        <v>44.1</v>
      </c>
      <c r="K23" s="201">
        <f t="shared" si="4"/>
        <v>100195.2</v>
      </c>
      <c r="L23" s="201">
        <v>104.2</v>
      </c>
      <c r="M23" s="201">
        <f t="shared" si="5"/>
        <v>100091</v>
      </c>
      <c r="R23" s="151"/>
      <c r="S23" s="151">
        <v>33346.199999999997</v>
      </c>
      <c r="T23" s="151"/>
      <c r="W23" s="150"/>
      <c r="X23" s="150"/>
      <c r="Y23" s="150"/>
      <c r="AA23" s="187">
        <v>-6.3</v>
      </c>
    </row>
    <row r="24" spans="1:32" x14ac:dyDescent="0.15">
      <c r="A24" s="189"/>
      <c r="B24" s="150"/>
      <c r="F24" s="150"/>
      <c r="G24" s="150"/>
      <c r="H24" s="201"/>
      <c r="I24" s="201">
        <f t="shared" si="3"/>
        <v>0</v>
      </c>
      <c r="J24" s="201"/>
      <c r="K24" s="201">
        <f t="shared" si="4"/>
        <v>0</v>
      </c>
      <c r="L24" s="201"/>
      <c r="M24" s="201">
        <f t="shared" si="5"/>
        <v>0</v>
      </c>
      <c r="R24" s="151"/>
      <c r="S24" s="151">
        <v>-24240</v>
      </c>
      <c r="T24" s="151"/>
      <c r="W24" s="150"/>
      <c r="X24" s="150"/>
      <c r="Y24" s="150"/>
    </row>
    <row r="25" spans="1:32" ht="12" x14ac:dyDescent="0.2">
      <c r="A25" s="189" t="s">
        <v>18</v>
      </c>
      <c r="B25" s="150">
        <f>SUM(B2:B24)</f>
        <v>25850.17</v>
      </c>
      <c r="F25" s="150"/>
      <c r="G25" s="150"/>
      <c r="H25" s="201"/>
      <c r="I25" s="201">
        <f>H25*G25</f>
        <v>0</v>
      </c>
      <c r="J25" s="201"/>
      <c r="K25" s="201">
        <f>J25*G25</f>
        <v>0</v>
      </c>
      <c r="L25" s="201"/>
      <c r="M25" s="201">
        <f>K25-I25-L25</f>
        <v>0</v>
      </c>
      <c r="R25" s="151">
        <v>120.91</v>
      </c>
      <c r="S25" s="151"/>
      <c r="T25" s="151"/>
      <c r="W25" s="150"/>
      <c r="X25" s="150"/>
      <c r="Y25" s="150"/>
      <c r="AA25" s="196" t="s">
        <v>210</v>
      </c>
      <c r="AB25" s="196" t="s">
        <v>212</v>
      </c>
      <c r="AC25" s="196" t="s">
        <v>213</v>
      </c>
      <c r="AD25" s="196" t="s">
        <v>280</v>
      </c>
      <c r="AE25" s="196" t="s">
        <v>281</v>
      </c>
      <c r="AF25" s="196" t="s">
        <v>216</v>
      </c>
    </row>
    <row r="26" spans="1:32" ht="12" x14ac:dyDescent="0.2">
      <c r="F26" s="150"/>
      <c r="G26" s="150"/>
      <c r="H26" s="201"/>
      <c r="I26" s="201"/>
      <c r="J26" s="201"/>
      <c r="K26" s="201"/>
      <c r="L26" s="201"/>
      <c r="M26" s="201"/>
      <c r="R26" s="151"/>
      <c r="S26" s="151"/>
      <c r="T26" s="151"/>
      <c r="W26" s="150"/>
      <c r="X26" s="150"/>
      <c r="Y26" s="150"/>
      <c r="AA26" s="49" t="s">
        <v>282</v>
      </c>
      <c r="AB26" s="91">
        <v>2272</v>
      </c>
      <c r="AC26" s="151">
        <v>98014.080000000002</v>
      </c>
      <c r="AD26" s="151">
        <v>44.95</v>
      </c>
      <c r="AE26" s="151">
        <f t="shared" ref="AE26:AE37" si="6">AD26*AB26</f>
        <v>102126.40000000001</v>
      </c>
      <c r="AF26" s="151">
        <f t="shared" ref="AF26:AF42" si="7">AE26-AC26</f>
        <v>4112.320000000007</v>
      </c>
    </row>
    <row r="27" spans="1:32" ht="12" x14ac:dyDescent="0.2">
      <c r="F27" s="150"/>
      <c r="G27" s="150"/>
      <c r="H27" s="201"/>
      <c r="I27" s="201"/>
      <c r="J27" s="150"/>
      <c r="K27" s="150"/>
      <c r="L27" s="150" t="s">
        <v>18</v>
      </c>
      <c r="M27" s="201">
        <f>SUM(M9:M26)</f>
        <v>365176.57999999996</v>
      </c>
      <c r="R27" s="151"/>
      <c r="S27" s="151">
        <v>146.96</v>
      </c>
      <c r="T27" s="151"/>
      <c r="W27" s="150"/>
      <c r="X27" s="150"/>
      <c r="Y27" s="150"/>
      <c r="AA27" s="49" t="s">
        <v>283</v>
      </c>
      <c r="AB27" s="91">
        <v>150</v>
      </c>
      <c r="AC27" s="151">
        <v>18975</v>
      </c>
      <c r="AD27" s="151">
        <v>112.95</v>
      </c>
      <c r="AE27" s="151">
        <f t="shared" si="6"/>
        <v>16942.5</v>
      </c>
      <c r="AF27" s="151">
        <f t="shared" si="7"/>
        <v>-2032.5</v>
      </c>
    </row>
    <row r="28" spans="1:32" ht="12" x14ac:dyDescent="0.2">
      <c r="L28" s="187" t="s">
        <v>284</v>
      </c>
      <c r="R28" s="151"/>
      <c r="S28" s="151">
        <v>158298.98000000001</v>
      </c>
      <c r="T28" s="151"/>
      <c r="W28" s="150"/>
      <c r="X28" s="150"/>
      <c r="Y28" s="150"/>
      <c r="AA28" s="49" t="s">
        <v>230</v>
      </c>
      <c r="AB28" s="91">
        <v>1150</v>
      </c>
      <c r="AC28" s="151">
        <v>226952.5</v>
      </c>
      <c r="AD28" s="151">
        <v>152</v>
      </c>
      <c r="AE28" s="151">
        <f>AD28*AB28</f>
        <v>174800</v>
      </c>
      <c r="AF28" s="151">
        <f t="shared" si="7"/>
        <v>-52152.5</v>
      </c>
    </row>
    <row r="29" spans="1:32" ht="12" x14ac:dyDescent="0.2">
      <c r="L29" s="187" t="s">
        <v>0</v>
      </c>
      <c r="R29" s="151">
        <v>1201.02</v>
      </c>
      <c r="S29" s="151">
        <v>2903.61</v>
      </c>
      <c r="T29" s="151"/>
      <c r="AA29" s="49" t="s">
        <v>285</v>
      </c>
      <c r="AB29" s="91">
        <v>2</v>
      </c>
      <c r="AC29" s="151">
        <v>590</v>
      </c>
      <c r="AD29" s="151">
        <v>329.8</v>
      </c>
      <c r="AE29" s="151">
        <f t="shared" si="6"/>
        <v>659.6</v>
      </c>
      <c r="AF29" s="151">
        <f t="shared" si="7"/>
        <v>69.600000000000023</v>
      </c>
    </row>
    <row r="30" spans="1:32" ht="12" x14ac:dyDescent="0.2">
      <c r="L30" s="187" t="s">
        <v>286</v>
      </c>
      <c r="M30" s="187">
        <v>2531.9</v>
      </c>
      <c r="R30" s="151">
        <v>1371.38</v>
      </c>
      <c r="S30" s="151">
        <v>153337.25</v>
      </c>
      <c r="T30" s="151"/>
      <c r="AA30" s="49" t="s">
        <v>250</v>
      </c>
      <c r="AB30" s="91">
        <v>1500</v>
      </c>
      <c r="AC30" s="151">
        <v>116850</v>
      </c>
      <c r="AD30" s="151">
        <v>58.95</v>
      </c>
      <c r="AE30" s="151">
        <f t="shared" si="6"/>
        <v>88425</v>
      </c>
      <c r="AF30" s="151">
        <f t="shared" si="7"/>
        <v>-28425</v>
      </c>
    </row>
    <row r="31" spans="1:32" ht="12" x14ac:dyDescent="0.2">
      <c r="R31" s="151">
        <v>1669.63</v>
      </c>
      <c r="S31" s="151">
        <v>223324.86</v>
      </c>
      <c r="T31" s="151"/>
      <c r="AA31" s="49" t="s">
        <v>287</v>
      </c>
      <c r="AB31" s="91">
        <v>6</v>
      </c>
      <c r="AC31" s="151">
        <v>7995.18</v>
      </c>
      <c r="AD31" s="151">
        <v>851.2</v>
      </c>
      <c r="AE31" s="151">
        <f t="shared" si="6"/>
        <v>5107.2000000000007</v>
      </c>
      <c r="AF31" s="151">
        <f t="shared" si="7"/>
        <v>-2887.9799999999996</v>
      </c>
    </row>
    <row r="32" spans="1:32" ht="12" x14ac:dyDescent="0.2">
      <c r="R32" s="151"/>
      <c r="S32" s="151">
        <v>-17745</v>
      </c>
      <c r="T32" s="151"/>
      <c r="AA32" s="49" t="s">
        <v>288</v>
      </c>
      <c r="AB32" s="91">
        <v>300</v>
      </c>
      <c r="AC32" s="151">
        <v>28200</v>
      </c>
      <c r="AD32" s="151">
        <v>96.6</v>
      </c>
      <c r="AE32" s="151">
        <f t="shared" si="6"/>
        <v>28980</v>
      </c>
      <c r="AF32" s="151">
        <f t="shared" si="7"/>
        <v>780</v>
      </c>
    </row>
    <row r="33" spans="1:32" ht="12" x14ac:dyDescent="0.2">
      <c r="H33" s="187">
        <v>6000</v>
      </c>
      <c r="I33" s="187">
        <v>1120</v>
      </c>
      <c r="R33" s="151"/>
      <c r="S33" s="151">
        <v>-201000</v>
      </c>
      <c r="T33" s="151"/>
      <c r="AA33" s="49" t="s">
        <v>289</v>
      </c>
      <c r="AB33" s="91">
        <v>6300</v>
      </c>
      <c r="AC33" s="151">
        <v>10797</v>
      </c>
      <c r="AD33" s="151">
        <v>1.95</v>
      </c>
      <c r="AE33" s="151">
        <f t="shared" si="6"/>
        <v>12285</v>
      </c>
      <c r="AF33" s="151">
        <f t="shared" si="7"/>
        <v>1488</v>
      </c>
    </row>
    <row r="34" spans="1:32" ht="12" x14ac:dyDescent="0.2">
      <c r="I34" s="187">
        <f>I33*H33</f>
        <v>6720000</v>
      </c>
      <c r="R34" s="151"/>
      <c r="S34" s="151">
        <v>-114225</v>
      </c>
      <c r="T34" s="151"/>
      <c r="W34" s="187">
        <v>700</v>
      </c>
      <c r="X34" s="187">
        <v>362.4</v>
      </c>
      <c r="Y34" s="187">
        <f>X34*W34</f>
        <v>253679.99999999997</v>
      </c>
      <c r="AA34" s="49" t="s">
        <v>290</v>
      </c>
      <c r="AB34" s="91">
        <v>3800</v>
      </c>
      <c r="AC34" s="151">
        <v>67070</v>
      </c>
      <c r="AD34" s="151">
        <v>17.45</v>
      </c>
      <c r="AE34" s="151">
        <f t="shared" si="6"/>
        <v>66310</v>
      </c>
      <c r="AF34" s="151">
        <f t="shared" si="7"/>
        <v>-760</v>
      </c>
    </row>
    <row r="35" spans="1:32" ht="12" x14ac:dyDescent="0.2">
      <c r="A35" s="600" t="s">
        <v>291</v>
      </c>
      <c r="B35" s="601"/>
      <c r="C35" s="602"/>
      <c r="D35" s="210"/>
      <c r="R35" s="151"/>
      <c r="S35" s="151">
        <v>-17554</v>
      </c>
      <c r="T35" s="151"/>
      <c r="W35" s="187">
        <v>1000</v>
      </c>
      <c r="X35" s="187">
        <v>363.6</v>
      </c>
      <c r="Y35" s="187">
        <f>X35*W35</f>
        <v>363600</v>
      </c>
      <c r="AA35" s="49" t="s">
        <v>292</v>
      </c>
      <c r="AB35" s="91">
        <v>19</v>
      </c>
      <c r="AC35" s="151">
        <v>14345</v>
      </c>
      <c r="AD35" s="151">
        <v>557.85</v>
      </c>
      <c r="AE35" s="151">
        <f t="shared" si="6"/>
        <v>10599.15</v>
      </c>
      <c r="AF35" s="151">
        <f t="shared" si="7"/>
        <v>-3745.8500000000004</v>
      </c>
    </row>
    <row r="36" spans="1:32" ht="12" x14ac:dyDescent="0.2">
      <c r="A36" s="199">
        <v>43862</v>
      </c>
      <c r="B36" s="150">
        <v>300000</v>
      </c>
      <c r="C36" s="150" t="s">
        <v>293</v>
      </c>
      <c r="L36" s="187">
        <f>755*19</f>
        <v>14345</v>
      </c>
      <c r="R36" s="151"/>
      <c r="S36" s="151"/>
      <c r="T36" s="151"/>
      <c r="AA36" s="49" t="s">
        <v>294</v>
      </c>
      <c r="AB36" s="91">
        <v>200</v>
      </c>
      <c r="AC36" s="151">
        <v>38690</v>
      </c>
      <c r="AD36" s="151">
        <v>179.75</v>
      </c>
      <c r="AE36" s="151">
        <f t="shared" si="6"/>
        <v>35950</v>
      </c>
      <c r="AF36" s="151">
        <f t="shared" si="7"/>
        <v>-2740</v>
      </c>
    </row>
    <row r="37" spans="1:32" ht="12" x14ac:dyDescent="0.2">
      <c r="A37" s="199">
        <v>43891</v>
      </c>
      <c r="B37" s="150">
        <v>3813</v>
      </c>
      <c r="C37" s="150" t="s">
        <v>17</v>
      </c>
      <c r="R37" s="151"/>
      <c r="S37" s="151"/>
      <c r="T37" s="151"/>
      <c r="Y37" s="187">
        <f>SUM(Y34:Y36)</f>
        <v>617280</v>
      </c>
      <c r="AA37" s="49" t="s">
        <v>295</v>
      </c>
      <c r="AB37" s="91">
        <v>20000</v>
      </c>
      <c r="AC37" s="151">
        <v>277400</v>
      </c>
      <c r="AD37" s="151">
        <v>12.65</v>
      </c>
      <c r="AE37" s="151">
        <f t="shared" si="6"/>
        <v>253000</v>
      </c>
      <c r="AF37" s="151">
        <f t="shared" si="7"/>
        <v>-24400</v>
      </c>
    </row>
    <row r="38" spans="1:32" ht="12" x14ac:dyDescent="0.2">
      <c r="A38" s="199">
        <v>43922</v>
      </c>
      <c r="B38" s="150">
        <v>3813</v>
      </c>
      <c r="C38" s="150" t="s">
        <v>17</v>
      </c>
      <c r="P38" s="187">
        <f>300*29.8</f>
        <v>8940</v>
      </c>
      <c r="R38" s="151"/>
      <c r="S38" s="151"/>
      <c r="T38" s="151"/>
      <c r="Y38" s="187">
        <f>Y37/1700</f>
        <v>363.10588235294119</v>
      </c>
      <c r="AA38" s="49"/>
      <c r="AB38" s="91"/>
      <c r="AC38" s="151"/>
      <c r="AD38" s="151"/>
      <c r="AE38" s="151"/>
      <c r="AF38" s="151">
        <f t="shared" si="7"/>
        <v>0</v>
      </c>
    </row>
    <row r="39" spans="1:32" ht="12" x14ac:dyDescent="0.2">
      <c r="A39" s="199">
        <v>43916</v>
      </c>
      <c r="B39" s="150">
        <v>-99900</v>
      </c>
      <c r="C39" s="150" t="s">
        <v>42</v>
      </c>
      <c r="R39" s="151"/>
      <c r="S39" s="151"/>
      <c r="T39" s="151"/>
      <c r="AA39" s="49"/>
      <c r="AB39" s="91"/>
      <c r="AC39" s="151"/>
      <c r="AD39" s="151"/>
      <c r="AE39" s="151"/>
      <c r="AF39" s="151">
        <f t="shared" si="7"/>
        <v>0</v>
      </c>
    </row>
    <row r="40" spans="1:32" ht="12" x14ac:dyDescent="0.2">
      <c r="A40" s="199">
        <v>43921</v>
      </c>
      <c r="B40" s="150">
        <v>-100000</v>
      </c>
      <c r="C40" s="150" t="s">
        <v>42</v>
      </c>
      <c r="L40" s="187">
        <v>196000</v>
      </c>
      <c r="R40" s="151"/>
      <c r="S40" s="151"/>
      <c r="T40" s="151"/>
      <c r="AA40" s="49"/>
      <c r="AB40" s="91"/>
      <c r="AC40" s="151"/>
      <c r="AD40" s="151"/>
      <c r="AE40" s="151"/>
      <c r="AF40" s="151">
        <f t="shared" si="7"/>
        <v>0</v>
      </c>
    </row>
    <row r="41" spans="1:32" ht="12" x14ac:dyDescent="0.2">
      <c r="A41" s="199">
        <v>43943</v>
      </c>
      <c r="B41" s="150">
        <v>-49999</v>
      </c>
      <c r="C41" s="150" t="s">
        <v>42</v>
      </c>
      <c r="L41" s="187">
        <v>-158300</v>
      </c>
      <c r="R41" s="151"/>
      <c r="S41" s="151"/>
      <c r="T41" s="151"/>
      <c r="AA41" s="49"/>
      <c r="AB41" s="91"/>
      <c r="AC41" s="151"/>
      <c r="AD41" s="151"/>
      <c r="AE41" s="151"/>
      <c r="AF41" s="151">
        <f t="shared" si="7"/>
        <v>0</v>
      </c>
    </row>
    <row r="42" spans="1:32" ht="12" x14ac:dyDescent="0.2">
      <c r="A42" s="199">
        <v>43944</v>
      </c>
      <c r="B42" s="150">
        <f>B38/3</f>
        <v>1271</v>
      </c>
      <c r="C42" s="150" t="s">
        <v>296</v>
      </c>
      <c r="R42" s="151"/>
      <c r="S42" s="151"/>
      <c r="T42" s="151"/>
      <c r="AA42" s="49"/>
      <c r="AB42" s="91"/>
      <c r="AC42" s="151"/>
      <c r="AD42" s="151"/>
      <c r="AE42" s="151"/>
      <c r="AF42" s="151">
        <f t="shared" si="7"/>
        <v>0</v>
      </c>
    </row>
    <row r="43" spans="1:32" x14ac:dyDescent="0.15">
      <c r="A43" s="150" t="s">
        <v>0</v>
      </c>
      <c r="B43" s="150">
        <f>SUM(B36:B42)</f>
        <v>58998</v>
      </c>
      <c r="C43" s="150"/>
      <c r="L43" s="187">
        <v>-31951</v>
      </c>
      <c r="R43" s="151"/>
      <c r="S43" s="151"/>
      <c r="T43" s="151"/>
      <c r="AA43" s="197" t="s">
        <v>18</v>
      </c>
      <c r="AC43" s="198">
        <f>SUM(AC26:AC42)</f>
        <v>905878.76</v>
      </c>
      <c r="AD43" s="198"/>
      <c r="AE43" s="198">
        <f t="shared" ref="AE43" si="8">SUM(AE26:AE42)</f>
        <v>795184.85000000009</v>
      </c>
      <c r="AF43" s="198">
        <f>SUM(AF26:AF42)</f>
        <v>-110693.90999999999</v>
      </c>
    </row>
    <row r="44" spans="1:32" x14ac:dyDescent="0.15">
      <c r="L44" s="187">
        <v>300</v>
      </c>
      <c r="R44" s="151"/>
      <c r="S44" s="151"/>
      <c r="T44" s="151"/>
      <c r="AC44" s="203" t="s">
        <v>297</v>
      </c>
      <c r="AD44" s="204">
        <f>AE43-AC43</f>
        <v>-110693.90999999992</v>
      </c>
    </row>
    <row r="45" spans="1:32" x14ac:dyDescent="0.15">
      <c r="Q45" s="187" t="s">
        <v>18</v>
      </c>
      <c r="R45" s="151">
        <f>SUM(R3:R44)</f>
        <v>37125.449999999997</v>
      </c>
      <c r="S45" s="151">
        <f>SUM(S3:S44)</f>
        <v>817137.7799999998</v>
      </c>
      <c r="T45" s="151">
        <f>SUM(T3:T44)</f>
        <v>129.4</v>
      </c>
    </row>
    <row r="46" spans="1:32" x14ac:dyDescent="0.15">
      <c r="A46" s="187" t="s">
        <v>210</v>
      </c>
      <c r="B46" s="597" t="s">
        <v>298</v>
      </c>
      <c r="C46" s="598"/>
      <c r="D46" s="599"/>
    </row>
    <row r="47" spans="1:32" x14ac:dyDescent="0.15">
      <c r="B47" s="206">
        <v>238</v>
      </c>
      <c r="C47" s="206">
        <v>42</v>
      </c>
      <c r="D47" s="206">
        <f t="shared" ref="D47:D54" si="9">C47*B47</f>
        <v>9996</v>
      </c>
      <c r="Q47" s="187" t="s">
        <v>299</v>
      </c>
      <c r="R47" s="187">
        <f>R45-(S45+T45)</f>
        <v>-780141.72999999986</v>
      </c>
    </row>
    <row r="48" spans="1:32" x14ac:dyDescent="0.15">
      <c r="B48" s="206">
        <v>34</v>
      </c>
      <c r="C48" s="206">
        <v>38.049999999999997</v>
      </c>
      <c r="D48" s="206">
        <f t="shared" si="9"/>
        <v>1293.6999999999998</v>
      </c>
    </row>
    <row r="49" spans="2:18" x14ac:dyDescent="0.15">
      <c r="B49" s="206">
        <v>1000</v>
      </c>
      <c r="C49" s="206">
        <v>39.200000000000003</v>
      </c>
      <c r="D49" s="206">
        <f t="shared" si="9"/>
        <v>39200</v>
      </c>
    </row>
    <row r="50" spans="2:18" x14ac:dyDescent="0.15">
      <c r="B50" s="206">
        <v>-1000</v>
      </c>
      <c r="C50" s="206">
        <v>42.2</v>
      </c>
      <c r="D50" s="206">
        <f t="shared" si="9"/>
        <v>-42200</v>
      </c>
      <c r="R50" s="187">
        <f>R47/365</f>
        <v>-2137.3746027397256</v>
      </c>
    </row>
    <row r="51" spans="2:18" x14ac:dyDescent="0.15">
      <c r="B51" s="206">
        <v>2272</v>
      </c>
      <c r="C51" s="206">
        <v>47.2</v>
      </c>
      <c r="D51" s="206">
        <f t="shared" si="9"/>
        <v>107238.40000000001</v>
      </c>
    </row>
    <row r="52" spans="2:18" ht="12" x14ac:dyDescent="0.2">
      <c r="B52" s="206">
        <v>-2272</v>
      </c>
      <c r="C52" s="206">
        <v>47</v>
      </c>
      <c r="D52" s="206">
        <f t="shared" si="9"/>
        <v>-106784</v>
      </c>
      <c r="H52" s="127"/>
      <c r="I52" s="191"/>
      <c r="J52" s="191"/>
      <c r="M52" s="187">
        <v>110</v>
      </c>
      <c r="N52" s="187">
        <v>194.3</v>
      </c>
      <c r="O52" s="187">
        <f>N52*M52</f>
        <v>21373</v>
      </c>
    </row>
    <row r="53" spans="2:18" x14ac:dyDescent="0.15">
      <c r="B53" s="206">
        <v>2000</v>
      </c>
      <c r="C53" s="206">
        <v>43.65</v>
      </c>
      <c r="D53" s="206">
        <f t="shared" si="9"/>
        <v>87300</v>
      </c>
      <c r="M53" s="187">
        <v>90</v>
      </c>
      <c r="N53" s="187">
        <v>191</v>
      </c>
      <c r="O53" s="187">
        <f>N53*M53</f>
        <v>17190</v>
      </c>
    </row>
    <row r="54" spans="2:18" x14ac:dyDescent="0.15">
      <c r="B54" s="208">
        <v>-2272</v>
      </c>
      <c r="C54" s="208">
        <v>44.1</v>
      </c>
      <c r="D54" s="206">
        <f t="shared" si="9"/>
        <v>-100195.2</v>
      </c>
      <c r="O54" s="187">
        <f>SUM(O52:O53)/200</f>
        <v>192.815</v>
      </c>
    </row>
    <row r="55" spans="2:18" x14ac:dyDescent="0.15">
      <c r="B55" s="206"/>
      <c r="C55" s="206"/>
      <c r="D55" s="206"/>
      <c r="O55" s="187">
        <f>O54*200</f>
        <v>38563</v>
      </c>
    </row>
    <row r="56" spans="2:18" x14ac:dyDescent="0.15">
      <c r="B56" s="206"/>
      <c r="C56" s="206"/>
      <c r="D56" s="206">
        <f>SUM(D47:D54)</f>
        <v>-4151.0999999999913</v>
      </c>
    </row>
    <row r="57" spans="2:18" x14ac:dyDescent="0.15">
      <c r="B57" s="594" t="s">
        <v>300</v>
      </c>
      <c r="C57" s="595"/>
      <c r="D57" s="596"/>
    </row>
    <row r="58" spans="2:18" x14ac:dyDescent="0.15">
      <c r="B58" s="207">
        <v>20</v>
      </c>
      <c r="C58" s="207">
        <v>883</v>
      </c>
      <c r="D58" s="207">
        <f t="shared" ref="D58:D64" si="10">C58*B58</f>
        <v>17660</v>
      </c>
    </row>
    <row r="59" spans="2:18" x14ac:dyDescent="0.15">
      <c r="B59" s="207">
        <v>-20</v>
      </c>
      <c r="C59" s="207">
        <v>913</v>
      </c>
      <c r="D59" s="207">
        <f t="shared" si="10"/>
        <v>-18260</v>
      </c>
      <c r="F59" s="209"/>
    </row>
    <row r="60" spans="2:18" x14ac:dyDescent="0.15">
      <c r="B60" s="207">
        <v>20</v>
      </c>
      <c r="C60" s="207">
        <v>905</v>
      </c>
      <c r="D60" s="207">
        <f t="shared" si="10"/>
        <v>18100</v>
      </c>
      <c r="F60" s="199">
        <v>43964</v>
      </c>
      <c r="G60" s="150"/>
      <c r="H60" s="150"/>
    </row>
    <row r="61" spans="2:18" x14ac:dyDescent="0.15">
      <c r="B61" s="207">
        <v>-20</v>
      </c>
      <c r="C61" s="207">
        <v>946</v>
      </c>
      <c r="D61" s="207">
        <f t="shared" si="10"/>
        <v>-18920</v>
      </c>
      <c r="F61" s="591" t="s">
        <v>235</v>
      </c>
      <c r="G61" s="150">
        <v>221.52</v>
      </c>
      <c r="H61" s="150"/>
    </row>
    <row r="62" spans="2:18" x14ac:dyDescent="0.15">
      <c r="B62" s="207"/>
      <c r="C62" s="207"/>
      <c r="D62" s="207">
        <f t="shared" si="10"/>
        <v>0</v>
      </c>
      <c r="F62" s="592"/>
      <c r="G62" s="150">
        <v>11025</v>
      </c>
      <c r="H62" s="150"/>
    </row>
    <row r="63" spans="2:18" x14ac:dyDescent="0.15">
      <c r="B63" s="207"/>
      <c r="C63" s="207"/>
      <c r="D63" s="207">
        <f t="shared" si="10"/>
        <v>0</v>
      </c>
      <c r="F63" s="592"/>
      <c r="G63" s="150">
        <v>8365</v>
      </c>
      <c r="H63" s="150"/>
    </row>
    <row r="64" spans="2:18" x14ac:dyDescent="0.15">
      <c r="B64" s="207"/>
      <c r="C64" s="207"/>
      <c r="D64" s="207">
        <f t="shared" si="10"/>
        <v>0</v>
      </c>
      <c r="F64" s="592"/>
      <c r="G64" s="150">
        <v>160</v>
      </c>
      <c r="H64" s="150"/>
    </row>
    <row r="65" spans="2:36" x14ac:dyDescent="0.15">
      <c r="B65" s="207"/>
      <c r="C65" s="207"/>
      <c r="D65" s="207"/>
      <c r="F65" s="592"/>
      <c r="G65" s="150">
        <v>-525</v>
      </c>
      <c r="H65" s="150"/>
    </row>
    <row r="66" spans="2:36" x14ac:dyDescent="0.15">
      <c r="B66" s="207"/>
      <c r="C66" s="207"/>
      <c r="D66" s="207"/>
      <c r="F66" s="592"/>
      <c r="G66" s="150">
        <v>-18000</v>
      </c>
      <c r="H66" s="150"/>
    </row>
    <row r="67" spans="2:36" x14ac:dyDescent="0.15">
      <c r="B67" s="207"/>
      <c r="C67" s="207"/>
      <c r="D67" s="206">
        <f>SUM(D58:D64)</f>
        <v>-1420</v>
      </c>
      <c r="F67" s="593"/>
      <c r="G67" s="150"/>
      <c r="H67" s="150"/>
    </row>
    <row r="68" spans="2:36" x14ac:dyDescent="0.15">
      <c r="B68" s="597" t="s">
        <v>301</v>
      </c>
      <c r="C68" s="598"/>
      <c r="D68" s="599"/>
      <c r="F68" s="150"/>
      <c r="G68" s="150"/>
      <c r="H68" s="150"/>
    </row>
    <row r="69" spans="2:36" x14ac:dyDescent="0.15">
      <c r="B69" s="206">
        <v>2000</v>
      </c>
      <c r="C69" s="206">
        <v>79.150000000000006</v>
      </c>
      <c r="D69" s="206">
        <f>C69*B69</f>
        <v>158300</v>
      </c>
      <c r="F69" s="150" t="s">
        <v>18</v>
      </c>
      <c r="G69" s="150">
        <f>SUM(G61:G67)</f>
        <v>1246.5200000000004</v>
      </c>
      <c r="H69" s="150"/>
    </row>
    <row r="70" spans="2:36" x14ac:dyDescent="0.15">
      <c r="B70" s="206">
        <v>-2000</v>
      </c>
      <c r="C70" s="206">
        <v>67.25</v>
      </c>
      <c r="D70" s="206">
        <f>C70*B70</f>
        <v>-134500</v>
      </c>
      <c r="F70" s="150"/>
      <c r="G70" s="150"/>
      <c r="H70" s="150"/>
    </row>
    <row r="71" spans="2:36" x14ac:dyDescent="0.15">
      <c r="B71" s="206" t="s">
        <v>302</v>
      </c>
      <c r="C71" s="206"/>
      <c r="D71" s="206">
        <v>-10000</v>
      </c>
      <c r="F71" s="591" t="s">
        <v>303</v>
      </c>
      <c r="G71" s="150">
        <v>20468.59</v>
      </c>
      <c r="H71" s="150"/>
    </row>
    <row r="72" spans="2:36" x14ac:dyDescent="0.15">
      <c r="B72" s="206"/>
      <c r="C72" s="206"/>
      <c r="D72" s="206">
        <f>C72*B72</f>
        <v>0</v>
      </c>
      <c r="F72" s="592"/>
      <c r="G72" s="150">
        <v>300</v>
      </c>
      <c r="H72" s="150"/>
    </row>
    <row r="73" spans="2:36" x14ac:dyDescent="0.15">
      <c r="B73" s="206"/>
      <c r="C73" s="206"/>
      <c r="D73" s="206">
        <f>C73*B73</f>
        <v>0</v>
      </c>
      <c r="F73" s="592"/>
      <c r="G73" s="150">
        <v>160</v>
      </c>
      <c r="H73" s="150"/>
    </row>
    <row r="74" spans="2:36" x14ac:dyDescent="0.15">
      <c r="B74" s="206"/>
      <c r="C74" s="206"/>
      <c r="D74" s="206">
        <f>C74*B74</f>
        <v>0</v>
      </c>
      <c r="F74" s="592"/>
      <c r="G74" s="150">
        <v>120</v>
      </c>
      <c r="H74" s="150"/>
    </row>
    <row r="75" spans="2:36" x14ac:dyDescent="0.15">
      <c r="B75" s="206"/>
      <c r="C75" s="206"/>
      <c r="D75" s="206">
        <f>C75*B75</f>
        <v>0</v>
      </c>
      <c r="F75" s="592"/>
      <c r="G75" s="150">
        <v>200</v>
      </c>
      <c r="H75" s="150"/>
      <c r="AG75" s="187" t="s">
        <v>304</v>
      </c>
      <c r="AH75" s="187">
        <v>6</v>
      </c>
      <c r="AI75" s="187">
        <v>1332.53</v>
      </c>
      <c r="AJ75" s="187">
        <v>915</v>
      </c>
    </row>
    <row r="76" spans="2:36" x14ac:dyDescent="0.15">
      <c r="B76" s="206"/>
      <c r="C76" s="206"/>
      <c r="D76" s="206"/>
      <c r="F76" s="592"/>
      <c r="G76" s="150">
        <v>-3575</v>
      </c>
      <c r="H76" s="150"/>
    </row>
    <row r="77" spans="2:36" x14ac:dyDescent="0.15">
      <c r="B77" s="206"/>
      <c r="C77" s="206"/>
      <c r="D77" s="206"/>
      <c r="F77" s="592"/>
      <c r="G77" s="150">
        <v>75</v>
      </c>
      <c r="H77" s="150"/>
    </row>
    <row r="78" spans="2:36" x14ac:dyDescent="0.15">
      <c r="B78" s="206"/>
      <c r="C78" s="206"/>
      <c r="D78" s="206">
        <f>SUM(D69:D75)</f>
        <v>13800</v>
      </c>
      <c r="F78" s="592"/>
      <c r="G78" s="150">
        <v>-200</v>
      </c>
      <c r="H78" s="150"/>
    </row>
    <row r="79" spans="2:36" x14ac:dyDescent="0.15">
      <c r="B79" s="594" t="s">
        <v>226</v>
      </c>
      <c r="C79" s="595"/>
      <c r="D79" s="596"/>
      <c r="F79" s="592"/>
      <c r="G79" s="150">
        <v>-13500</v>
      </c>
      <c r="H79" s="150"/>
    </row>
    <row r="80" spans="2:36" x14ac:dyDescent="0.15">
      <c r="B80" s="207">
        <v>1000</v>
      </c>
      <c r="C80" s="207">
        <v>4.7</v>
      </c>
      <c r="D80" s="207">
        <f>C80*B80</f>
        <v>4700</v>
      </c>
      <c r="F80" s="593"/>
      <c r="G80" s="150"/>
      <c r="H80" s="150"/>
    </row>
    <row r="81" spans="2:8" x14ac:dyDescent="0.15">
      <c r="B81" s="207">
        <v>3000</v>
      </c>
      <c r="C81" s="207">
        <v>3.15</v>
      </c>
      <c r="D81" s="207">
        <f t="shared" ref="D81:D86" si="11">C81*B81</f>
        <v>9450</v>
      </c>
      <c r="F81" s="150"/>
      <c r="G81" s="150"/>
      <c r="H81" s="150"/>
    </row>
    <row r="82" spans="2:8" x14ac:dyDescent="0.15">
      <c r="B82" s="207">
        <v>3000</v>
      </c>
      <c r="C82" s="207">
        <v>3.15</v>
      </c>
      <c r="D82" s="207">
        <f t="shared" si="11"/>
        <v>9450</v>
      </c>
      <c r="F82" s="212" t="s">
        <v>18</v>
      </c>
      <c r="G82" s="212">
        <f>SUM(G71:G79)</f>
        <v>4048.59</v>
      </c>
    </row>
    <row r="83" spans="2:8" x14ac:dyDescent="0.15">
      <c r="B83" s="207">
        <v>100</v>
      </c>
      <c r="C83" s="207">
        <v>3.3</v>
      </c>
      <c r="D83" s="207">
        <f t="shared" si="11"/>
        <v>330</v>
      </c>
    </row>
    <row r="84" spans="2:8" x14ac:dyDescent="0.15">
      <c r="B84" s="207">
        <v>-7300</v>
      </c>
      <c r="C84" s="207">
        <v>3.95</v>
      </c>
      <c r="D84" s="207">
        <f t="shared" si="11"/>
        <v>-28835</v>
      </c>
    </row>
    <row r="85" spans="2:8" x14ac:dyDescent="0.15">
      <c r="B85" s="207">
        <v>1000</v>
      </c>
      <c r="C85" s="207">
        <v>4</v>
      </c>
      <c r="D85" s="207">
        <f t="shared" si="11"/>
        <v>4000</v>
      </c>
    </row>
    <row r="86" spans="2:8" x14ac:dyDescent="0.15">
      <c r="B86" s="207">
        <v>-1000</v>
      </c>
      <c r="C86" s="207">
        <v>4.2</v>
      </c>
      <c r="D86" s="207">
        <f t="shared" si="11"/>
        <v>-4200</v>
      </c>
    </row>
    <row r="87" spans="2:8" x14ac:dyDescent="0.15">
      <c r="B87" s="207"/>
      <c r="C87" s="207"/>
      <c r="D87" s="207"/>
    </row>
    <row r="88" spans="2:8" x14ac:dyDescent="0.15">
      <c r="B88" s="207"/>
      <c r="C88" s="207"/>
      <c r="D88" s="207"/>
    </row>
    <row r="89" spans="2:8" x14ac:dyDescent="0.15">
      <c r="B89" s="207"/>
      <c r="C89" s="207"/>
      <c r="D89" s="206">
        <f>SUM(D80:D86)</f>
        <v>-5105</v>
      </c>
    </row>
    <row r="91" spans="2:8" x14ac:dyDescent="0.15">
      <c r="B91" s="594" t="s">
        <v>220</v>
      </c>
      <c r="C91" s="595"/>
      <c r="D91" s="596"/>
    </row>
    <row r="92" spans="2:8" x14ac:dyDescent="0.15">
      <c r="B92" s="207">
        <v>1000</v>
      </c>
      <c r="C92" s="207">
        <v>44.65</v>
      </c>
      <c r="D92" s="207">
        <f>C92*B92</f>
        <v>44650</v>
      </c>
    </row>
    <row r="93" spans="2:8" x14ac:dyDescent="0.15">
      <c r="B93" s="207">
        <v>-1000</v>
      </c>
      <c r="C93" s="207">
        <v>48.8</v>
      </c>
      <c r="D93" s="207">
        <f t="shared" ref="D93:D98" si="12">C93*B93</f>
        <v>-48800</v>
      </c>
    </row>
    <row r="94" spans="2:8" x14ac:dyDescent="0.15">
      <c r="B94" s="207"/>
      <c r="C94" s="207"/>
      <c r="D94" s="207">
        <f t="shared" si="12"/>
        <v>0</v>
      </c>
    </row>
    <row r="95" spans="2:8" x14ac:dyDescent="0.15">
      <c r="B95" s="207"/>
      <c r="C95" s="207"/>
      <c r="D95" s="207">
        <f t="shared" si="12"/>
        <v>0</v>
      </c>
    </row>
    <row r="96" spans="2:8" x14ac:dyDescent="0.15">
      <c r="B96" s="207"/>
      <c r="C96" s="207"/>
      <c r="D96" s="207">
        <f t="shared" si="12"/>
        <v>0</v>
      </c>
    </row>
    <row r="97" spans="2:4" x14ac:dyDescent="0.15">
      <c r="B97" s="207"/>
      <c r="C97" s="207"/>
      <c r="D97" s="207">
        <f t="shared" si="12"/>
        <v>0</v>
      </c>
    </row>
    <row r="98" spans="2:4" x14ac:dyDescent="0.15">
      <c r="B98" s="207"/>
      <c r="C98" s="207"/>
      <c r="D98" s="207">
        <f t="shared" si="12"/>
        <v>0</v>
      </c>
    </row>
    <row r="99" spans="2:4" x14ac:dyDescent="0.15">
      <c r="B99" s="207"/>
      <c r="C99" s="207"/>
      <c r="D99" s="207"/>
    </row>
    <row r="100" spans="2:4" x14ac:dyDescent="0.15">
      <c r="B100" s="207"/>
      <c r="C100" s="207"/>
      <c r="D100" s="207"/>
    </row>
    <row r="101" spans="2:4" x14ac:dyDescent="0.15">
      <c r="B101" s="207"/>
      <c r="C101" s="207"/>
      <c r="D101" s="206">
        <f>SUM(D92:D98)</f>
        <v>-4150</v>
      </c>
    </row>
    <row r="102" spans="2:4" x14ac:dyDescent="0.15">
      <c r="B102" s="597" t="s">
        <v>218</v>
      </c>
      <c r="C102" s="598"/>
      <c r="D102" s="599"/>
    </row>
    <row r="103" spans="2:4" x14ac:dyDescent="0.15">
      <c r="B103" s="206">
        <v>300</v>
      </c>
      <c r="C103" s="206">
        <v>59.15</v>
      </c>
      <c r="D103" s="206">
        <f>C103*B103</f>
        <v>17745</v>
      </c>
    </row>
    <row r="104" spans="2:4" x14ac:dyDescent="0.15">
      <c r="B104" s="206">
        <v>-300</v>
      </c>
      <c r="C104" s="206">
        <v>30</v>
      </c>
      <c r="D104" s="206">
        <f t="shared" ref="D104:D109" si="13">C104*B104</f>
        <v>-9000</v>
      </c>
    </row>
    <row r="105" spans="2:4" x14ac:dyDescent="0.15">
      <c r="B105" s="206">
        <v>300</v>
      </c>
      <c r="C105" s="206">
        <v>29.8</v>
      </c>
      <c r="D105" s="206">
        <f t="shared" si="13"/>
        <v>8940</v>
      </c>
    </row>
    <row r="106" spans="2:4" x14ac:dyDescent="0.15">
      <c r="B106" s="206">
        <v>-300</v>
      </c>
      <c r="C106" s="206">
        <v>27.9</v>
      </c>
      <c r="D106" s="206">
        <f t="shared" si="13"/>
        <v>-8370</v>
      </c>
    </row>
    <row r="107" spans="2:4" x14ac:dyDescent="0.15">
      <c r="B107" s="206"/>
      <c r="C107" s="206"/>
      <c r="D107" s="206">
        <f t="shared" si="13"/>
        <v>0</v>
      </c>
    </row>
    <row r="108" spans="2:4" x14ac:dyDescent="0.15">
      <c r="B108" s="206"/>
      <c r="C108" s="206"/>
      <c r="D108" s="206">
        <f t="shared" si="13"/>
        <v>0</v>
      </c>
    </row>
    <row r="109" spans="2:4" x14ac:dyDescent="0.15">
      <c r="B109" s="206"/>
      <c r="C109" s="206"/>
      <c r="D109" s="206">
        <f t="shared" si="13"/>
        <v>0</v>
      </c>
    </row>
    <row r="110" spans="2:4" x14ac:dyDescent="0.15">
      <c r="B110" s="206"/>
      <c r="C110" s="206"/>
      <c r="D110" s="206"/>
    </row>
    <row r="111" spans="2:4" x14ac:dyDescent="0.15">
      <c r="B111" s="206"/>
      <c r="C111" s="206"/>
      <c r="D111" s="206"/>
    </row>
    <row r="112" spans="2:4" x14ac:dyDescent="0.15">
      <c r="B112" s="206"/>
      <c r="C112" s="206"/>
      <c r="D112" s="206">
        <f>SUM(D103:D109)</f>
        <v>9315</v>
      </c>
    </row>
    <row r="114" spans="2:4" x14ac:dyDescent="0.15">
      <c r="B114" s="597" t="s">
        <v>248</v>
      </c>
      <c r="C114" s="598"/>
      <c r="D114" s="599"/>
    </row>
    <row r="115" spans="2:4" x14ac:dyDescent="0.15">
      <c r="B115" s="206">
        <v>400</v>
      </c>
      <c r="C115" s="206">
        <v>367.5</v>
      </c>
      <c r="D115" s="206">
        <f>C115*B115</f>
        <v>147000</v>
      </c>
    </row>
    <row r="116" spans="2:4" x14ac:dyDescent="0.15">
      <c r="B116" s="206">
        <v>-400</v>
      </c>
      <c r="C116" s="206">
        <v>386</v>
      </c>
      <c r="D116" s="206">
        <f t="shared" ref="D116:D121" si="14">C116*B116</f>
        <v>-154400</v>
      </c>
    </row>
    <row r="117" spans="2:4" x14ac:dyDescent="0.15">
      <c r="B117" s="206">
        <v>500</v>
      </c>
      <c r="C117" s="206">
        <v>386.2</v>
      </c>
      <c r="D117" s="206">
        <f t="shared" si="14"/>
        <v>193100</v>
      </c>
    </row>
    <row r="118" spans="2:4" x14ac:dyDescent="0.15">
      <c r="B118" s="206">
        <v>-500</v>
      </c>
      <c r="C118" s="206">
        <v>380.15</v>
      </c>
      <c r="D118" s="206">
        <f t="shared" si="14"/>
        <v>-190075</v>
      </c>
    </row>
    <row r="119" spans="2:4" x14ac:dyDescent="0.15">
      <c r="B119" s="206"/>
      <c r="C119" s="206"/>
      <c r="D119" s="206">
        <f t="shared" si="14"/>
        <v>0</v>
      </c>
    </row>
    <row r="120" spans="2:4" x14ac:dyDescent="0.15">
      <c r="B120" s="206"/>
      <c r="C120" s="206"/>
      <c r="D120" s="206">
        <f t="shared" si="14"/>
        <v>0</v>
      </c>
    </row>
    <row r="121" spans="2:4" x14ac:dyDescent="0.15">
      <c r="B121" s="206"/>
      <c r="C121" s="206"/>
      <c r="D121" s="206">
        <f t="shared" si="14"/>
        <v>0</v>
      </c>
    </row>
    <row r="122" spans="2:4" x14ac:dyDescent="0.15">
      <c r="B122" s="206"/>
      <c r="C122" s="206"/>
      <c r="D122" s="206"/>
    </row>
    <row r="123" spans="2:4" x14ac:dyDescent="0.15">
      <c r="B123" s="206"/>
      <c r="C123" s="206"/>
      <c r="D123" s="206"/>
    </row>
    <row r="124" spans="2:4" x14ac:dyDescent="0.15">
      <c r="B124" s="206"/>
      <c r="C124" s="206"/>
      <c r="D124" s="206">
        <f>SUM(D115:D121)</f>
        <v>-4375</v>
      </c>
    </row>
    <row r="125" spans="2:4" x14ac:dyDescent="0.15">
      <c r="B125" s="594" t="s">
        <v>305</v>
      </c>
      <c r="C125" s="595"/>
      <c r="D125" s="596"/>
    </row>
    <row r="126" spans="2:4" x14ac:dyDescent="0.15">
      <c r="B126" s="207">
        <v>15</v>
      </c>
      <c r="C126" s="207">
        <v>2130.1</v>
      </c>
      <c r="D126" s="207">
        <f>C126*B126</f>
        <v>31951.5</v>
      </c>
    </row>
    <row r="127" spans="2:4" x14ac:dyDescent="0.15">
      <c r="B127" s="207">
        <v>-15</v>
      </c>
      <c r="C127" s="207">
        <v>2180</v>
      </c>
      <c r="D127" s="207">
        <f t="shared" ref="D127:D132" si="15">C127*B127</f>
        <v>-32700</v>
      </c>
    </row>
    <row r="128" spans="2:4" x14ac:dyDescent="0.15">
      <c r="B128" s="207">
        <v>30</v>
      </c>
      <c r="C128" s="207">
        <v>2159.5</v>
      </c>
      <c r="D128" s="207">
        <f t="shared" si="15"/>
        <v>64785</v>
      </c>
    </row>
    <row r="129" spans="2:4" x14ac:dyDescent="0.15">
      <c r="B129" s="207">
        <v>-30</v>
      </c>
      <c r="C129" s="207">
        <v>2165</v>
      </c>
      <c r="D129" s="207">
        <f t="shared" si="15"/>
        <v>-64950</v>
      </c>
    </row>
    <row r="130" spans="2:4" x14ac:dyDescent="0.15">
      <c r="B130" s="207"/>
      <c r="C130" s="207"/>
      <c r="D130" s="207">
        <f t="shared" si="15"/>
        <v>0</v>
      </c>
    </row>
    <row r="131" spans="2:4" x14ac:dyDescent="0.15">
      <c r="B131" s="207"/>
      <c r="C131" s="207"/>
      <c r="D131" s="207">
        <f t="shared" si="15"/>
        <v>0</v>
      </c>
    </row>
    <row r="132" spans="2:4" x14ac:dyDescent="0.15">
      <c r="B132" s="207"/>
      <c r="C132" s="207"/>
      <c r="D132" s="207">
        <f t="shared" si="15"/>
        <v>0</v>
      </c>
    </row>
    <row r="133" spans="2:4" x14ac:dyDescent="0.15">
      <c r="B133" s="207"/>
      <c r="C133" s="207"/>
      <c r="D133" s="207"/>
    </row>
    <row r="134" spans="2:4" x14ac:dyDescent="0.15">
      <c r="B134" s="207"/>
      <c r="C134" s="207"/>
      <c r="D134" s="207"/>
    </row>
    <row r="135" spans="2:4" x14ac:dyDescent="0.15">
      <c r="B135" s="207"/>
      <c r="C135" s="207"/>
      <c r="D135" s="206">
        <f>SUM(D126:D132)</f>
        <v>-913.5</v>
      </c>
    </row>
    <row r="137" spans="2:4" x14ac:dyDescent="0.15">
      <c r="B137" s="594" t="s">
        <v>304</v>
      </c>
      <c r="C137" s="595"/>
      <c r="D137" s="596"/>
    </row>
    <row r="138" spans="2:4" x14ac:dyDescent="0.15">
      <c r="B138" s="207">
        <v>6</v>
      </c>
      <c r="C138" s="207">
        <v>1332.5</v>
      </c>
      <c r="D138" s="207">
        <f>C138*B138</f>
        <v>7995</v>
      </c>
    </row>
    <row r="139" spans="2:4" x14ac:dyDescent="0.15">
      <c r="B139" s="207">
        <v>-6</v>
      </c>
      <c r="C139" s="207">
        <v>915</v>
      </c>
      <c r="D139" s="207">
        <f t="shared" ref="D139:D144" si="16">C139*B139</f>
        <v>-5490</v>
      </c>
    </row>
    <row r="140" spans="2:4" x14ac:dyDescent="0.15">
      <c r="B140" s="207"/>
      <c r="C140" s="207"/>
      <c r="D140" s="207">
        <f t="shared" si="16"/>
        <v>0</v>
      </c>
    </row>
    <row r="141" spans="2:4" x14ac:dyDescent="0.15">
      <c r="B141" s="207"/>
      <c r="C141" s="207"/>
      <c r="D141" s="207">
        <f t="shared" si="16"/>
        <v>0</v>
      </c>
    </row>
    <row r="142" spans="2:4" x14ac:dyDescent="0.15">
      <c r="B142" s="207"/>
      <c r="C142" s="207"/>
      <c r="D142" s="207">
        <f t="shared" si="16"/>
        <v>0</v>
      </c>
    </row>
    <row r="143" spans="2:4" x14ac:dyDescent="0.15">
      <c r="B143" s="207"/>
      <c r="C143" s="207"/>
      <c r="D143" s="207">
        <f t="shared" si="16"/>
        <v>0</v>
      </c>
    </row>
    <row r="144" spans="2:4" x14ac:dyDescent="0.15">
      <c r="B144" s="207"/>
      <c r="C144" s="207"/>
      <c r="D144" s="207">
        <f t="shared" si="16"/>
        <v>0</v>
      </c>
    </row>
    <row r="145" spans="2:4" x14ac:dyDescent="0.15">
      <c r="B145" s="207"/>
      <c r="C145" s="207"/>
      <c r="D145" s="207"/>
    </row>
    <row r="146" spans="2:4" x14ac:dyDescent="0.15">
      <c r="B146" s="207"/>
      <c r="C146" s="207"/>
      <c r="D146" s="207"/>
    </row>
    <row r="147" spans="2:4" x14ac:dyDescent="0.15">
      <c r="B147" s="207"/>
      <c r="C147" s="207"/>
      <c r="D147" s="206">
        <f>SUM(D138:D144)</f>
        <v>2505</v>
      </c>
    </row>
    <row r="148" spans="2:4" x14ac:dyDescent="0.15">
      <c r="B148" s="597" t="s">
        <v>306</v>
      </c>
      <c r="C148" s="598"/>
      <c r="D148" s="599"/>
    </row>
    <row r="149" spans="2:4" x14ac:dyDescent="0.15">
      <c r="B149" s="206">
        <v>25</v>
      </c>
      <c r="C149" s="206">
        <v>977.44</v>
      </c>
      <c r="D149" s="206">
        <f>C149*B149</f>
        <v>24436</v>
      </c>
    </row>
    <row r="150" spans="2:4" x14ac:dyDescent="0.15">
      <c r="B150" s="206">
        <v>-25</v>
      </c>
      <c r="C150" s="206">
        <v>986</v>
      </c>
      <c r="D150" s="206">
        <f t="shared" ref="D150:D155" si="17">C150*B150</f>
        <v>-24650</v>
      </c>
    </row>
    <row r="151" spans="2:4" x14ac:dyDescent="0.15">
      <c r="B151" s="206">
        <v>25</v>
      </c>
      <c r="C151" s="206">
        <v>960</v>
      </c>
      <c r="D151" s="206">
        <f t="shared" si="17"/>
        <v>24000</v>
      </c>
    </row>
    <row r="152" spans="2:4" x14ac:dyDescent="0.15">
      <c r="B152" s="206">
        <v>-25</v>
      </c>
      <c r="C152" s="206">
        <v>1002</v>
      </c>
      <c r="D152" s="206">
        <f t="shared" si="17"/>
        <v>-25050</v>
      </c>
    </row>
    <row r="153" spans="2:4" x14ac:dyDescent="0.15">
      <c r="B153" s="206"/>
      <c r="C153" s="206"/>
      <c r="D153" s="206">
        <f t="shared" si="17"/>
        <v>0</v>
      </c>
    </row>
    <row r="154" spans="2:4" x14ac:dyDescent="0.15">
      <c r="B154" s="206"/>
      <c r="C154" s="206"/>
      <c r="D154" s="206">
        <f t="shared" si="17"/>
        <v>0</v>
      </c>
    </row>
    <row r="155" spans="2:4" x14ac:dyDescent="0.15">
      <c r="B155" s="206"/>
      <c r="C155" s="206"/>
      <c r="D155" s="206">
        <f t="shared" si="17"/>
        <v>0</v>
      </c>
    </row>
    <row r="156" spans="2:4" x14ac:dyDescent="0.15">
      <c r="B156" s="206"/>
      <c r="C156" s="206"/>
      <c r="D156" s="206"/>
    </row>
    <row r="157" spans="2:4" x14ac:dyDescent="0.15">
      <c r="B157" s="206"/>
      <c r="C157" s="206"/>
      <c r="D157" s="206"/>
    </row>
    <row r="158" spans="2:4" x14ac:dyDescent="0.15">
      <c r="B158" s="206"/>
      <c r="C158" s="206"/>
      <c r="D158" s="206">
        <f>SUM(D149:D155)</f>
        <v>-1264</v>
      </c>
    </row>
    <row r="160" spans="2:4" x14ac:dyDescent="0.15">
      <c r="B160" s="597" t="s">
        <v>250</v>
      </c>
      <c r="C160" s="598"/>
      <c r="D160" s="599"/>
    </row>
    <row r="161" spans="2:4" x14ac:dyDescent="0.15">
      <c r="B161" s="206">
        <v>1500</v>
      </c>
      <c r="C161" s="206">
        <v>77.900000000000006</v>
      </c>
      <c r="D161" s="206">
        <f>C161*B161</f>
        <v>116850.00000000001</v>
      </c>
    </row>
    <row r="162" spans="2:4" x14ac:dyDescent="0.15">
      <c r="B162" s="206">
        <v>-1500</v>
      </c>
      <c r="C162" s="206">
        <v>60.25</v>
      </c>
      <c r="D162" s="206">
        <f t="shared" ref="D162:D167" si="18">C162*B162</f>
        <v>-90375</v>
      </c>
    </row>
    <row r="163" spans="2:4" x14ac:dyDescent="0.15">
      <c r="B163" s="206"/>
      <c r="C163" s="206"/>
      <c r="D163" s="206">
        <f t="shared" si="18"/>
        <v>0</v>
      </c>
    </row>
    <row r="164" spans="2:4" x14ac:dyDescent="0.15">
      <c r="B164" s="206"/>
      <c r="C164" s="206"/>
      <c r="D164" s="206">
        <f t="shared" si="18"/>
        <v>0</v>
      </c>
    </row>
    <row r="165" spans="2:4" x14ac:dyDescent="0.15">
      <c r="B165" s="206"/>
      <c r="C165" s="206"/>
      <c r="D165" s="206">
        <f t="shared" si="18"/>
        <v>0</v>
      </c>
    </row>
    <row r="166" spans="2:4" x14ac:dyDescent="0.15">
      <c r="B166" s="206"/>
      <c r="C166" s="206"/>
      <c r="D166" s="206">
        <f t="shared" si="18"/>
        <v>0</v>
      </c>
    </row>
    <row r="167" spans="2:4" x14ac:dyDescent="0.15">
      <c r="B167" s="206"/>
      <c r="C167" s="206"/>
      <c r="D167" s="206">
        <f t="shared" si="18"/>
        <v>0</v>
      </c>
    </row>
    <row r="168" spans="2:4" x14ac:dyDescent="0.15">
      <c r="B168" s="206"/>
      <c r="C168" s="206"/>
      <c r="D168" s="206"/>
    </row>
    <row r="169" spans="2:4" x14ac:dyDescent="0.15">
      <c r="B169" s="206"/>
      <c r="C169" s="206"/>
      <c r="D169" s="206"/>
    </row>
    <row r="170" spans="2:4" x14ac:dyDescent="0.15">
      <c r="B170" s="206"/>
      <c r="C170" s="206"/>
      <c r="D170" s="206">
        <f>SUM(D161:D167)</f>
        <v>26475.000000000015</v>
      </c>
    </row>
    <row r="171" spans="2:4" x14ac:dyDescent="0.15">
      <c r="B171" s="594" t="s">
        <v>307</v>
      </c>
      <c r="C171" s="595"/>
      <c r="D171" s="596"/>
    </row>
    <row r="172" spans="2:4" x14ac:dyDescent="0.15">
      <c r="B172" s="207">
        <v>1000</v>
      </c>
      <c r="C172" s="207">
        <v>198</v>
      </c>
      <c r="D172" s="207">
        <f>C172*B172</f>
        <v>198000</v>
      </c>
    </row>
    <row r="173" spans="2:4" x14ac:dyDescent="0.15">
      <c r="B173" s="207">
        <v>150</v>
      </c>
      <c r="C173" s="207">
        <v>173</v>
      </c>
      <c r="D173" s="207">
        <f t="shared" ref="D173:D178" si="19">C173*B173</f>
        <v>25950</v>
      </c>
    </row>
    <row r="174" spans="2:4" x14ac:dyDescent="0.15">
      <c r="B174" s="207">
        <v>-1150</v>
      </c>
      <c r="C174" s="207">
        <v>156.5</v>
      </c>
      <c r="D174" s="207">
        <f t="shared" si="19"/>
        <v>-179975</v>
      </c>
    </row>
    <row r="175" spans="2:4" x14ac:dyDescent="0.15">
      <c r="B175" s="207"/>
      <c r="C175" s="207"/>
      <c r="D175" s="207">
        <f t="shared" si="19"/>
        <v>0</v>
      </c>
    </row>
    <row r="176" spans="2:4" x14ac:dyDescent="0.15">
      <c r="B176" s="207"/>
      <c r="C176" s="207"/>
      <c r="D176" s="207">
        <f t="shared" si="19"/>
        <v>0</v>
      </c>
    </row>
    <row r="177" spans="2:4" x14ac:dyDescent="0.15">
      <c r="B177" s="207"/>
      <c r="C177" s="207"/>
      <c r="D177" s="207">
        <f t="shared" si="19"/>
        <v>0</v>
      </c>
    </row>
    <row r="178" spans="2:4" x14ac:dyDescent="0.15">
      <c r="B178" s="207"/>
      <c r="C178" s="207"/>
      <c r="D178" s="207">
        <f t="shared" si="19"/>
        <v>0</v>
      </c>
    </row>
    <row r="179" spans="2:4" x14ac:dyDescent="0.15">
      <c r="B179" s="207"/>
      <c r="C179" s="207"/>
      <c r="D179" s="207"/>
    </row>
    <row r="180" spans="2:4" x14ac:dyDescent="0.15">
      <c r="B180" s="207"/>
      <c r="C180" s="207"/>
      <c r="D180" s="207"/>
    </row>
    <row r="181" spans="2:4" x14ac:dyDescent="0.15">
      <c r="B181" s="207"/>
      <c r="C181" s="207"/>
      <c r="D181" s="206">
        <f>SUM(D172:D178)</f>
        <v>43975</v>
      </c>
    </row>
    <row r="182" spans="2:4" x14ac:dyDescent="0.15">
      <c r="B182" s="597" t="s">
        <v>250</v>
      </c>
      <c r="C182" s="598"/>
      <c r="D182" s="599"/>
    </row>
    <row r="183" spans="2:4" x14ac:dyDescent="0.15">
      <c r="B183" s="206">
        <v>1500</v>
      </c>
      <c r="C183" s="206">
        <v>77.900000000000006</v>
      </c>
      <c r="D183" s="206">
        <f>C183*B183</f>
        <v>116850.00000000001</v>
      </c>
    </row>
    <row r="184" spans="2:4" x14ac:dyDescent="0.15">
      <c r="B184" s="206">
        <v>-1500</v>
      </c>
      <c r="C184" s="206">
        <v>60.25</v>
      </c>
      <c r="D184" s="206">
        <f t="shared" ref="D184:D189" si="20">C184*B184</f>
        <v>-90375</v>
      </c>
    </row>
    <row r="185" spans="2:4" x14ac:dyDescent="0.15">
      <c r="B185" s="206"/>
      <c r="C185" s="206"/>
      <c r="D185" s="206">
        <f t="shared" si="20"/>
        <v>0</v>
      </c>
    </row>
    <row r="186" spans="2:4" x14ac:dyDescent="0.15">
      <c r="B186" s="206"/>
      <c r="C186" s="206"/>
      <c r="D186" s="206">
        <f t="shared" si="20"/>
        <v>0</v>
      </c>
    </row>
    <row r="187" spans="2:4" x14ac:dyDescent="0.15">
      <c r="B187" s="206"/>
      <c r="C187" s="206"/>
      <c r="D187" s="206">
        <f t="shared" si="20"/>
        <v>0</v>
      </c>
    </row>
    <row r="188" spans="2:4" x14ac:dyDescent="0.15">
      <c r="B188" s="206"/>
      <c r="C188" s="206"/>
      <c r="D188" s="206">
        <f t="shared" si="20"/>
        <v>0</v>
      </c>
    </row>
    <row r="189" spans="2:4" x14ac:dyDescent="0.15">
      <c r="B189" s="206"/>
      <c r="C189" s="206"/>
      <c r="D189" s="206">
        <f t="shared" si="20"/>
        <v>0</v>
      </c>
    </row>
    <row r="190" spans="2:4" x14ac:dyDescent="0.15">
      <c r="B190" s="206"/>
      <c r="C190" s="206"/>
      <c r="D190" s="206"/>
    </row>
    <row r="191" spans="2:4" x14ac:dyDescent="0.15">
      <c r="B191" s="206"/>
      <c r="C191" s="206"/>
      <c r="D191" s="206"/>
    </row>
    <row r="192" spans="2:4" x14ac:dyDescent="0.15">
      <c r="B192" s="206"/>
      <c r="C192" s="206"/>
      <c r="D192" s="206">
        <f>SUM(D183:D189)</f>
        <v>26475.000000000015</v>
      </c>
    </row>
    <row r="193" spans="2:4" x14ac:dyDescent="0.15">
      <c r="B193" s="594" t="s">
        <v>308</v>
      </c>
      <c r="C193" s="595"/>
      <c r="D193" s="596"/>
    </row>
    <row r="194" spans="2:4" x14ac:dyDescent="0.15">
      <c r="B194" s="207">
        <v>150</v>
      </c>
      <c r="C194" s="207">
        <v>126.5</v>
      </c>
      <c r="D194" s="207">
        <f>C194*B194</f>
        <v>18975</v>
      </c>
    </row>
    <row r="195" spans="2:4" x14ac:dyDescent="0.15">
      <c r="B195" s="207">
        <v>-150</v>
      </c>
      <c r="C195" s="207">
        <v>130</v>
      </c>
      <c r="D195" s="207">
        <f t="shared" ref="D195:D200" si="21">C195*B195</f>
        <v>-19500</v>
      </c>
    </row>
    <row r="196" spans="2:4" x14ac:dyDescent="0.15">
      <c r="B196" s="207"/>
      <c r="C196" s="207"/>
      <c r="D196" s="207">
        <f t="shared" si="21"/>
        <v>0</v>
      </c>
    </row>
    <row r="197" spans="2:4" x14ac:dyDescent="0.15">
      <c r="B197" s="207"/>
      <c r="C197" s="207"/>
      <c r="D197" s="207">
        <f t="shared" si="21"/>
        <v>0</v>
      </c>
    </row>
    <row r="198" spans="2:4" x14ac:dyDescent="0.15">
      <c r="B198" s="207"/>
      <c r="C198" s="207"/>
      <c r="D198" s="207">
        <f t="shared" si="21"/>
        <v>0</v>
      </c>
    </row>
    <row r="199" spans="2:4" x14ac:dyDescent="0.15">
      <c r="B199" s="207"/>
      <c r="C199" s="207"/>
      <c r="D199" s="207">
        <f t="shared" si="21"/>
        <v>0</v>
      </c>
    </row>
    <row r="200" spans="2:4" x14ac:dyDescent="0.15">
      <c r="B200" s="207"/>
      <c r="C200" s="207"/>
      <c r="D200" s="207">
        <f t="shared" si="21"/>
        <v>0</v>
      </c>
    </row>
    <row r="201" spans="2:4" x14ac:dyDescent="0.15">
      <c r="B201" s="207"/>
      <c r="C201" s="207"/>
      <c r="D201" s="207"/>
    </row>
    <row r="202" spans="2:4" x14ac:dyDescent="0.15">
      <c r="B202" s="207"/>
      <c r="C202" s="207"/>
      <c r="D202" s="207"/>
    </row>
    <row r="203" spans="2:4" x14ac:dyDescent="0.15">
      <c r="B203" s="207"/>
      <c r="C203" s="207"/>
      <c r="D203" s="206">
        <f>SUM(D194:D200)</f>
        <v>-525</v>
      </c>
    </row>
    <row r="204" spans="2:4" x14ac:dyDescent="0.15">
      <c r="B204" s="597" t="s">
        <v>285</v>
      </c>
      <c r="C204" s="598"/>
      <c r="D204" s="599"/>
    </row>
    <row r="205" spans="2:4" x14ac:dyDescent="0.15">
      <c r="B205" s="206">
        <v>2</v>
      </c>
      <c r="C205" s="206">
        <v>295</v>
      </c>
      <c r="D205" s="206">
        <f>C205*B205</f>
        <v>590</v>
      </c>
    </row>
    <row r="206" spans="2:4" x14ac:dyDescent="0.15">
      <c r="B206" s="206">
        <v>-2</v>
      </c>
      <c r="C206" s="206">
        <v>404</v>
      </c>
      <c r="D206" s="206">
        <f t="shared" ref="D206:D211" si="22">C206*B206</f>
        <v>-808</v>
      </c>
    </row>
    <row r="207" spans="2:4" x14ac:dyDescent="0.15">
      <c r="B207" s="206"/>
      <c r="C207" s="206"/>
      <c r="D207" s="206">
        <f t="shared" si="22"/>
        <v>0</v>
      </c>
    </row>
    <row r="208" spans="2:4" x14ac:dyDescent="0.15">
      <c r="B208" s="206"/>
      <c r="C208" s="206"/>
      <c r="D208" s="206">
        <f t="shared" si="22"/>
        <v>0</v>
      </c>
    </row>
    <row r="209" spans="2:4" x14ac:dyDescent="0.15">
      <c r="B209" s="206"/>
      <c r="C209" s="206"/>
      <c r="D209" s="206">
        <f t="shared" si="22"/>
        <v>0</v>
      </c>
    </row>
    <row r="210" spans="2:4" x14ac:dyDescent="0.15">
      <c r="B210" s="206"/>
      <c r="C210" s="206"/>
      <c r="D210" s="206">
        <f t="shared" si="22"/>
        <v>0</v>
      </c>
    </row>
    <row r="211" spans="2:4" x14ac:dyDescent="0.15">
      <c r="B211" s="206"/>
      <c r="C211" s="206"/>
      <c r="D211" s="206">
        <f t="shared" si="22"/>
        <v>0</v>
      </c>
    </row>
    <row r="212" spans="2:4" x14ac:dyDescent="0.15">
      <c r="B212" s="206"/>
      <c r="C212" s="206"/>
      <c r="D212" s="206"/>
    </row>
    <row r="213" spans="2:4" x14ac:dyDescent="0.15">
      <c r="B213" s="206"/>
      <c r="C213" s="206"/>
      <c r="D213" s="206"/>
    </row>
    <row r="214" spans="2:4" x14ac:dyDescent="0.15">
      <c r="B214" s="206"/>
      <c r="C214" s="206"/>
      <c r="D214" s="206">
        <f>SUM(D205:D211)</f>
        <v>-218</v>
      </c>
    </row>
    <row r="215" spans="2:4" x14ac:dyDescent="0.15">
      <c r="B215" s="594" t="s">
        <v>294</v>
      </c>
      <c r="C215" s="595"/>
      <c r="D215" s="596"/>
    </row>
    <row r="216" spans="2:4" x14ac:dyDescent="0.15">
      <c r="B216" s="207">
        <v>200</v>
      </c>
      <c r="C216" s="207">
        <v>192.81</v>
      </c>
      <c r="D216" s="207">
        <f>C216*B216</f>
        <v>38562</v>
      </c>
    </row>
    <row r="217" spans="2:4" x14ac:dyDescent="0.15">
      <c r="B217" s="207">
        <v>-200</v>
      </c>
      <c r="C217" s="207">
        <v>194</v>
      </c>
      <c r="D217" s="207">
        <f t="shared" ref="D217:D222" si="23">C217*B217</f>
        <v>-38800</v>
      </c>
    </row>
    <row r="218" spans="2:4" x14ac:dyDescent="0.15">
      <c r="B218" s="207"/>
      <c r="C218" s="207"/>
      <c r="D218" s="207">
        <f t="shared" si="23"/>
        <v>0</v>
      </c>
    </row>
    <row r="219" spans="2:4" x14ac:dyDescent="0.15">
      <c r="B219" s="207"/>
      <c r="C219" s="207"/>
      <c r="D219" s="207">
        <f t="shared" si="23"/>
        <v>0</v>
      </c>
    </row>
    <row r="220" spans="2:4" x14ac:dyDescent="0.15">
      <c r="B220" s="207"/>
      <c r="C220" s="207"/>
      <c r="D220" s="207">
        <f t="shared" si="23"/>
        <v>0</v>
      </c>
    </row>
    <row r="221" spans="2:4" x14ac:dyDescent="0.15">
      <c r="B221" s="207"/>
      <c r="C221" s="207"/>
      <c r="D221" s="207">
        <f t="shared" si="23"/>
        <v>0</v>
      </c>
    </row>
    <row r="222" spans="2:4" x14ac:dyDescent="0.15">
      <c r="B222" s="207"/>
      <c r="C222" s="207"/>
      <c r="D222" s="207">
        <f t="shared" si="23"/>
        <v>0</v>
      </c>
    </row>
    <row r="223" spans="2:4" x14ac:dyDescent="0.15">
      <c r="B223" s="207"/>
      <c r="C223" s="207"/>
      <c r="D223" s="207"/>
    </row>
    <row r="224" spans="2:4" x14ac:dyDescent="0.15">
      <c r="B224" s="207"/>
      <c r="C224" s="207"/>
      <c r="D224" s="207"/>
    </row>
    <row r="225" spans="2:4" x14ac:dyDescent="0.15">
      <c r="B225" s="207"/>
      <c r="C225" s="207"/>
      <c r="D225" s="206">
        <f>SUM(D216:D222)</f>
        <v>-238</v>
      </c>
    </row>
    <row r="226" spans="2:4" x14ac:dyDescent="0.15">
      <c r="B226" s="597" t="s">
        <v>309</v>
      </c>
      <c r="C226" s="598"/>
      <c r="D226" s="599"/>
    </row>
    <row r="227" spans="2:4" x14ac:dyDescent="0.15">
      <c r="B227" s="206">
        <v>19</v>
      </c>
      <c r="C227" s="206">
        <v>755</v>
      </c>
      <c r="D227" s="206">
        <f>C227*B227</f>
        <v>14345</v>
      </c>
    </row>
    <row r="228" spans="2:4" x14ac:dyDescent="0.15">
      <c r="B228" s="206">
        <v>-19</v>
      </c>
      <c r="C228" s="206">
        <v>595</v>
      </c>
      <c r="D228" s="206">
        <f t="shared" ref="D228:D233" si="24">C228*B228</f>
        <v>-11305</v>
      </c>
    </row>
    <row r="229" spans="2:4" x14ac:dyDescent="0.15">
      <c r="B229" s="206"/>
      <c r="C229" s="206"/>
      <c r="D229" s="206">
        <f t="shared" si="24"/>
        <v>0</v>
      </c>
    </row>
    <row r="230" spans="2:4" x14ac:dyDescent="0.15">
      <c r="B230" s="206"/>
      <c r="C230" s="206"/>
      <c r="D230" s="206">
        <f t="shared" si="24"/>
        <v>0</v>
      </c>
    </row>
    <row r="231" spans="2:4" x14ac:dyDescent="0.15">
      <c r="B231" s="206"/>
      <c r="C231" s="206"/>
      <c r="D231" s="206">
        <f t="shared" si="24"/>
        <v>0</v>
      </c>
    </row>
    <row r="232" spans="2:4" x14ac:dyDescent="0.15">
      <c r="B232" s="206"/>
      <c r="C232" s="206"/>
      <c r="D232" s="206">
        <f t="shared" si="24"/>
        <v>0</v>
      </c>
    </row>
    <row r="233" spans="2:4" x14ac:dyDescent="0.15">
      <c r="B233" s="206"/>
      <c r="C233" s="206"/>
      <c r="D233" s="206">
        <f t="shared" si="24"/>
        <v>0</v>
      </c>
    </row>
    <row r="234" spans="2:4" x14ac:dyDescent="0.15">
      <c r="B234" s="206"/>
      <c r="C234" s="206"/>
      <c r="D234" s="206"/>
    </row>
    <row r="235" spans="2:4" x14ac:dyDescent="0.15">
      <c r="B235" s="206"/>
      <c r="C235" s="206"/>
      <c r="D235" s="206"/>
    </row>
    <row r="236" spans="2:4" x14ac:dyDescent="0.15">
      <c r="B236" s="206"/>
      <c r="C236" s="206"/>
      <c r="D236" s="206">
        <f>SUM(D227:D233)</f>
        <v>3040</v>
      </c>
    </row>
    <row r="237" spans="2:4" x14ac:dyDescent="0.15">
      <c r="B237" s="594" t="s">
        <v>239</v>
      </c>
      <c r="C237" s="595"/>
      <c r="D237" s="596"/>
    </row>
    <row r="238" spans="2:4" x14ac:dyDescent="0.15">
      <c r="B238" s="207">
        <v>100</v>
      </c>
      <c r="C238" s="207">
        <v>623.5</v>
      </c>
      <c r="D238" s="207">
        <f>C238*B238</f>
        <v>62350</v>
      </c>
    </row>
    <row r="239" spans="2:4" x14ac:dyDescent="0.15">
      <c r="B239" s="207">
        <v>-100</v>
      </c>
      <c r="C239" s="207">
        <v>655</v>
      </c>
      <c r="D239" s="207">
        <f t="shared" ref="D239:D244" si="25">C239*B239</f>
        <v>-65500</v>
      </c>
    </row>
    <row r="240" spans="2:4" x14ac:dyDescent="0.15">
      <c r="B240" s="207"/>
      <c r="C240" s="207"/>
      <c r="D240" s="207">
        <f t="shared" si="25"/>
        <v>0</v>
      </c>
    </row>
    <row r="241" spans="2:4" x14ac:dyDescent="0.15">
      <c r="B241" s="207"/>
      <c r="C241" s="207"/>
      <c r="D241" s="207">
        <f t="shared" si="25"/>
        <v>0</v>
      </c>
    </row>
    <row r="242" spans="2:4" x14ac:dyDescent="0.15">
      <c r="B242" s="207"/>
      <c r="C242" s="207"/>
      <c r="D242" s="207">
        <f t="shared" si="25"/>
        <v>0</v>
      </c>
    </row>
    <row r="243" spans="2:4" x14ac:dyDescent="0.15">
      <c r="B243" s="207"/>
      <c r="C243" s="207"/>
      <c r="D243" s="207">
        <f t="shared" si="25"/>
        <v>0</v>
      </c>
    </row>
    <row r="244" spans="2:4" x14ac:dyDescent="0.15">
      <c r="B244" s="207"/>
      <c r="C244" s="207"/>
      <c r="D244" s="207">
        <f t="shared" si="25"/>
        <v>0</v>
      </c>
    </row>
    <row r="245" spans="2:4" x14ac:dyDescent="0.15">
      <c r="B245" s="207"/>
      <c r="C245" s="207"/>
      <c r="D245" s="207"/>
    </row>
    <row r="246" spans="2:4" x14ac:dyDescent="0.15">
      <c r="B246" s="207"/>
      <c r="C246" s="207"/>
      <c r="D246" s="207"/>
    </row>
    <row r="247" spans="2:4" x14ac:dyDescent="0.15">
      <c r="B247" s="207"/>
      <c r="C247" s="207"/>
      <c r="D247" s="206">
        <f>SUM(D238:D244)</f>
        <v>-3150</v>
      </c>
    </row>
  </sheetData>
  <sortState xmlns:xlrd2="http://schemas.microsoft.com/office/spreadsheetml/2017/richdata2" ref="AA26:AC41">
    <sortCondition ref="AA26:AA41"/>
  </sortState>
  <mergeCells count="21">
    <mergeCell ref="B237:D237"/>
    <mergeCell ref="B226:D226"/>
    <mergeCell ref="A35:C35"/>
    <mergeCell ref="B79:D79"/>
    <mergeCell ref="B102:D102"/>
    <mergeCell ref="B125:D125"/>
    <mergeCell ref="B46:D46"/>
    <mergeCell ref="B91:D91"/>
    <mergeCell ref="B114:D114"/>
    <mergeCell ref="B57:D57"/>
    <mergeCell ref="B68:D68"/>
    <mergeCell ref="B182:D182"/>
    <mergeCell ref="B148:D148"/>
    <mergeCell ref="B193:D193"/>
    <mergeCell ref="B204:D204"/>
    <mergeCell ref="B215:D215"/>
    <mergeCell ref="F61:F67"/>
    <mergeCell ref="F71:F80"/>
    <mergeCell ref="B137:D137"/>
    <mergeCell ref="B160:D160"/>
    <mergeCell ref="B171:D17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43E4-F57E-4902-92F2-CFF17D9CC1C8}">
  <dimension ref="A1:C17"/>
  <sheetViews>
    <sheetView workbookViewId="0">
      <selection activeCell="C8" sqref="C8"/>
    </sheetView>
  </sheetViews>
  <sheetFormatPr defaultRowHeight="15" x14ac:dyDescent="0.25"/>
  <cols>
    <col min="1" max="1" width="11.7109375" bestFit="1" customWidth="1"/>
    <col min="2" max="2" width="14.85546875" bestFit="1" customWidth="1"/>
    <col min="3" max="3" width="13.85546875" customWidth="1"/>
  </cols>
  <sheetData>
    <row r="1" spans="1:3" x14ac:dyDescent="0.25">
      <c r="A1" s="26" t="s">
        <v>310</v>
      </c>
      <c r="B1" s="26" t="s">
        <v>311</v>
      </c>
      <c r="C1" s="26" t="s">
        <v>312</v>
      </c>
    </row>
    <row r="2" spans="1:3" x14ac:dyDescent="0.25">
      <c r="A2" s="603" t="s">
        <v>313</v>
      </c>
      <c r="B2" s="1" t="s">
        <v>314</v>
      </c>
      <c r="C2" s="1" t="s">
        <v>315</v>
      </c>
    </row>
    <row r="3" spans="1:3" x14ac:dyDescent="0.25">
      <c r="A3" s="603"/>
      <c r="B3" s="1" t="s">
        <v>316</v>
      </c>
      <c r="C3" s="1" t="s">
        <v>315</v>
      </c>
    </row>
    <row r="4" spans="1:3" x14ac:dyDescent="0.25">
      <c r="A4" s="603"/>
      <c r="B4" s="1" t="s">
        <v>317</v>
      </c>
      <c r="C4" s="1" t="s">
        <v>315</v>
      </c>
    </row>
    <row r="5" spans="1:3" x14ac:dyDescent="0.25">
      <c r="A5" s="603"/>
      <c r="B5" s="1" t="s">
        <v>253</v>
      </c>
      <c r="C5" s="392" t="s">
        <v>318</v>
      </c>
    </row>
    <row r="6" spans="1:3" x14ac:dyDescent="0.25">
      <c r="A6" s="603"/>
      <c r="B6" s="1" t="s">
        <v>319</v>
      </c>
      <c r="C6" s="1" t="s">
        <v>315</v>
      </c>
    </row>
    <row r="7" spans="1:3" x14ac:dyDescent="0.25">
      <c r="A7" s="603"/>
      <c r="B7" s="1" t="s">
        <v>248</v>
      </c>
      <c r="C7" s="1" t="s">
        <v>315</v>
      </c>
    </row>
    <row r="8" spans="1:3" x14ac:dyDescent="0.25">
      <c r="A8" s="603"/>
      <c r="B8" s="1" t="s">
        <v>320</v>
      </c>
      <c r="C8" s="1" t="s">
        <v>315</v>
      </c>
    </row>
    <row r="9" spans="1:3" x14ac:dyDescent="0.25">
      <c r="A9" s="603"/>
      <c r="B9" s="1" t="s">
        <v>256</v>
      </c>
      <c r="C9" s="1" t="s">
        <v>315</v>
      </c>
    </row>
    <row r="10" spans="1:3" x14ac:dyDescent="0.25">
      <c r="A10" s="603"/>
      <c r="B10" s="1" t="s">
        <v>321</v>
      </c>
      <c r="C10" s="1" t="s">
        <v>315</v>
      </c>
    </row>
    <row r="11" spans="1:3" x14ac:dyDescent="0.25">
      <c r="A11" s="603"/>
      <c r="B11" s="1" t="s">
        <v>322</v>
      </c>
      <c r="C11" s="1" t="s">
        <v>315</v>
      </c>
    </row>
    <row r="12" spans="1:3" x14ac:dyDescent="0.25">
      <c r="A12" s="603"/>
      <c r="B12" s="1" t="s">
        <v>323</v>
      </c>
      <c r="C12" s="392" t="s">
        <v>315</v>
      </c>
    </row>
    <row r="13" spans="1:3" x14ac:dyDescent="0.25">
      <c r="A13" s="603" t="s">
        <v>324</v>
      </c>
      <c r="B13" s="1" t="s">
        <v>319</v>
      </c>
      <c r="C13" s="393" t="s">
        <v>325</v>
      </c>
    </row>
    <row r="14" spans="1:3" x14ac:dyDescent="0.25">
      <c r="A14" s="603"/>
      <c r="B14" s="1" t="s">
        <v>248</v>
      </c>
      <c r="C14" s="1" t="s">
        <v>315</v>
      </c>
    </row>
    <row r="15" spans="1:3" x14ac:dyDescent="0.25">
      <c r="A15" s="603"/>
      <c r="B15" s="1" t="s">
        <v>320</v>
      </c>
      <c r="C15" s="392" t="s">
        <v>318</v>
      </c>
    </row>
    <row r="16" spans="1:3" x14ac:dyDescent="0.25">
      <c r="A16" s="603"/>
      <c r="B16" s="1" t="s">
        <v>255</v>
      </c>
      <c r="C16" s="1" t="s">
        <v>315</v>
      </c>
    </row>
    <row r="17" spans="1:3" x14ac:dyDescent="0.25">
      <c r="A17" s="603"/>
      <c r="B17" s="1" t="s">
        <v>326</v>
      </c>
      <c r="C17" s="1" t="s">
        <v>315</v>
      </c>
    </row>
  </sheetData>
  <sortState xmlns:xlrd2="http://schemas.microsoft.com/office/spreadsheetml/2017/richdata2" ref="B13:B17">
    <sortCondition ref="B13:B17"/>
  </sortState>
  <mergeCells count="2">
    <mergeCell ref="A2:A12"/>
    <mergeCell ref="A13:A17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FG11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Q29" sqref="CQ29"/>
    </sheetView>
  </sheetViews>
  <sheetFormatPr defaultColWidth="9.140625" defaultRowHeight="12.75" x14ac:dyDescent="0.2"/>
  <cols>
    <col min="1" max="1" width="43" style="2" bestFit="1" customWidth="1"/>
    <col min="2" max="2" width="7.5703125" style="2" bestFit="1" customWidth="1"/>
    <col min="3" max="3" width="9.28515625" style="2" bestFit="1" customWidth="1"/>
    <col min="4" max="9" width="11" style="2" hidden="1" customWidth="1"/>
    <col min="10" max="10" width="9.7109375" style="2" hidden="1" customWidth="1"/>
    <col min="11" max="11" width="12.140625" style="2" hidden="1" customWidth="1"/>
    <col min="12" max="12" width="9.5703125" style="2" hidden="1" customWidth="1"/>
    <col min="13" max="22" width="11" style="2" hidden="1" customWidth="1"/>
    <col min="23" max="23" width="12.140625" style="2" hidden="1" customWidth="1"/>
    <col min="24" max="24" width="11" style="2" hidden="1" customWidth="1"/>
    <col min="25" max="25" width="20.5703125" style="2" hidden="1" customWidth="1"/>
    <col min="26" max="27" width="11" style="2" hidden="1" customWidth="1"/>
    <col min="28" max="28" width="13.5703125" style="2" hidden="1" customWidth="1"/>
    <col min="29" max="34" width="11" style="2" hidden="1" customWidth="1"/>
    <col min="35" max="35" width="12.140625" style="2" hidden="1" customWidth="1"/>
    <col min="36" max="47" width="11" style="2" hidden="1" customWidth="1"/>
    <col min="48" max="51" width="10.140625" style="2" hidden="1" customWidth="1"/>
    <col min="52" max="67" width="11" style="2" hidden="1" customWidth="1"/>
    <col min="68" max="69" width="9.140625" style="2" hidden="1" customWidth="1"/>
    <col min="70" max="73" width="0" style="2" hidden="1" customWidth="1"/>
    <col min="74" max="74" width="9.42578125" style="2" hidden="1" customWidth="1"/>
    <col min="75" max="76" width="0" style="2" hidden="1" customWidth="1"/>
    <col min="77" max="77" width="11.140625" style="2" hidden="1" customWidth="1"/>
    <col min="78" max="79" width="9.42578125" style="2" hidden="1" customWidth="1"/>
    <col min="80" max="82" width="0" style="2" hidden="1" customWidth="1"/>
    <col min="83" max="83" width="9.5703125" style="2" hidden="1" customWidth="1"/>
    <col min="84" max="89" width="0" style="2" hidden="1" customWidth="1"/>
    <col min="90" max="91" width="9.42578125" style="2" hidden="1" customWidth="1"/>
    <col min="92" max="93" width="9.140625" style="2"/>
    <col min="94" max="94" width="9.5703125" style="2" bestFit="1" customWidth="1"/>
    <col min="95" max="107" width="9.140625" style="2"/>
    <col min="108" max="108" width="9.7109375" style="2" bestFit="1" customWidth="1"/>
    <col min="109" max="16384" width="9.140625" style="2"/>
  </cols>
  <sheetData>
    <row r="1" spans="1:107" ht="28.5" customHeight="1" x14ac:dyDescent="0.2">
      <c r="A1" s="242" t="s">
        <v>327</v>
      </c>
      <c r="B1" s="242"/>
      <c r="C1" s="230" t="s">
        <v>328</v>
      </c>
      <c r="D1" s="231">
        <v>42842</v>
      </c>
      <c r="E1" s="231">
        <v>42872</v>
      </c>
      <c r="F1" s="231">
        <v>42903</v>
      </c>
      <c r="G1" s="231">
        <v>42933</v>
      </c>
      <c r="H1" s="231">
        <v>42964</v>
      </c>
      <c r="I1" s="231">
        <v>42995</v>
      </c>
      <c r="J1" s="231">
        <v>43025</v>
      </c>
      <c r="K1" s="231">
        <v>43056</v>
      </c>
      <c r="L1" s="231">
        <v>43086</v>
      </c>
      <c r="M1" s="231">
        <v>43117</v>
      </c>
      <c r="N1" s="231">
        <v>43148</v>
      </c>
      <c r="O1" s="231">
        <v>43176</v>
      </c>
      <c r="P1" s="231">
        <v>43207</v>
      </c>
      <c r="Q1" s="231">
        <v>43237</v>
      </c>
      <c r="R1" s="231">
        <v>43268</v>
      </c>
      <c r="S1" s="231">
        <v>43298</v>
      </c>
      <c r="T1" s="231">
        <v>43329</v>
      </c>
      <c r="U1" s="231">
        <v>43360</v>
      </c>
      <c r="V1" s="231">
        <v>43390</v>
      </c>
      <c r="W1" s="231">
        <v>43421</v>
      </c>
      <c r="X1" s="231">
        <v>43451</v>
      </c>
      <c r="Y1" s="231">
        <v>43482</v>
      </c>
      <c r="Z1" s="231">
        <v>43513</v>
      </c>
      <c r="AA1" s="231">
        <v>43541</v>
      </c>
      <c r="AB1" s="231">
        <v>43572</v>
      </c>
      <c r="AC1" s="231">
        <v>43602</v>
      </c>
      <c r="AD1" s="231">
        <v>43633</v>
      </c>
      <c r="AE1" s="231">
        <v>43663</v>
      </c>
      <c r="AF1" s="231">
        <v>43694</v>
      </c>
      <c r="AG1" s="231">
        <v>43725</v>
      </c>
      <c r="AH1" s="231">
        <v>43755</v>
      </c>
      <c r="AI1" s="231">
        <v>43786</v>
      </c>
      <c r="AJ1" s="231">
        <v>43816</v>
      </c>
      <c r="AK1" s="231">
        <v>43847</v>
      </c>
      <c r="AL1" s="231">
        <v>43878</v>
      </c>
      <c r="AM1" s="231">
        <v>43907</v>
      </c>
      <c r="AN1" s="231">
        <v>43938</v>
      </c>
      <c r="AO1" s="231">
        <v>43968</v>
      </c>
      <c r="AP1" s="231">
        <v>43999</v>
      </c>
      <c r="AQ1" s="231">
        <v>44029</v>
      </c>
      <c r="AR1" s="231">
        <v>44060</v>
      </c>
      <c r="AS1" s="231">
        <v>44091</v>
      </c>
      <c r="AT1" s="231">
        <v>44121</v>
      </c>
      <c r="AU1" s="231">
        <v>44152</v>
      </c>
      <c r="AV1" s="231">
        <v>44182</v>
      </c>
      <c r="AW1" s="231">
        <v>44213</v>
      </c>
      <c r="AX1" s="231">
        <v>44244</v>
      </c>
      <c r="AY1" s="231">
        <v>44272</v>
      </c>
      <c r="AZ1" s="231">
        <v>44303</v>
      </c>
      <c r="BA1" s="231">
        <v>44333</v>
      </c>
      <c r="BB1" s="231">
        <v>44364</v>
      </c>
      <c r="BC1" s="231">
        <v>44394</v>
      </c>
      <c r="BD1" s="231">
        <v>44425</v>
      </c>
      <c r="BE1" s="231">
        <v>44456</v>
      </c>
      <c r="BF1" s="231">
        <v>44486</v>
      </c>
      <c r="BG1" s="231">
        <v>44517</v>
      </c>
      <c r="BH1" s="231">
        <v>44547</v>
      </c>
      <c r="BI1" s="231">
        <v>44578</v>
      </c>
      <c r="BJ1" s="231">
        <v>44609</v>
      </c>
      <c r="BK1" s="231">
        <v>44637</v>
      </c>
      <c r="BL1" s="231">
        <v>44668</v>
      </c>
      <c r="BM1" s="231">
        <v>44698</v>
      </c>
      <c r="BN1" s="231">
        <v>44729</v>
      </c>
      <c r="BO1" s="231">
        <v>44759</v>
      </c>
      <c r="BP1" s="231">
        <v>44790</v>
      </c>
      <c r="BQ1" s="231">
        <v>44821</v>
      </c>
      <c r="BR1" s="231">
        <v>44851</v>
      </c>
      <c r="BS1" s="231">
        <v>44882</v>
      </c>
      <c r="BT1" s="231">
        <v>44912</v>
      </c>
      <c r="BU1" s="231">
        <v>44943</v>
      </c>
      <c r="BV1" s="231">
        <v>44974</v>
      </c>
      <c r="BW1" s="441">
        <v>45002</v>
      </c>
      <c r="BX1" s="231">
        <v>45033</v>
      </c>
      <c r="BY1" s="231">
        <v>45063</v>
      </c>
      <c r="BZ1" s="231">
        <v>45094</v>
      </c>
      <c r="CA1" s="231">
        <v>45124</v>
      </c>
      <c r="CB1" s="231">
        <v>45155</v>
      </c>
      <c r="CC1" s="231">
        <v>45186</v>
      </c>
      <c r="CD1" s="231">
        <v>45216</v>
      </c>
      <c r="CE1" s="231">
        <v>45247</v>
      </c>
      <c r="CF1" s="231">
        <v>45277</v>
      </c>
      <c r="CG1" s="231">
        <v>45308</v>
      </c>
      <c r="CH1" s="231">
        <v>45339</v>
      </c>
      <c r="CI1" s="231">
        <v>45368</v>
      </c>
      <c r="CJ1" s="231">
        <v>45399</v>
      </c>
      <c r="CK1" s="231">
        <v>45429</v>
      </c>
      <c r="CL1" s="231">
        <v>45460</v>
      </c>
      <c r="CM1" s="231">
        <v>45490</v>
      </c>
      <c r="CN1" s="231">
        <v>45552</v>
      </c>
      <c r="CO1" s="231">
        <v>45582</v>
      </c>
      <c r="CP1" s="231">
        <v>45613</v>
      </c>
      <c r="CQ1" s="231">
        <v>45643</v>
      </c>
      <c r="CR1" s="231">
        <v>45674</v>
      </c>
      <c r="CS1" s="231">
        <v>45705</v>
      </c>
      <c r="CT1" s="231">
        <v>45733</v>
      </c>
      <c r="CU1" s="231">
        <v>45764</v>
      </c>
      <c r="CV1" s="231">
        <v>45794</v>
      </c>
      <c r="CW1" s="231">
        <v>45825</v>
      </c>
      <c r="CX1" s="231">
        <v>45855</v>
      </c>
      <c r="CY1" s="231">
        <v>45886</v>
      </c>
      <c r="CZ1" s="231">
        <v>45917</v>
      </c>
      <c r="DA1" s="231">
        <v>45947</v>
      </c>
      <c r="DB1" s="231">
        <v>45978</v>
      </c>
      <c r="DC1" s="231">
        <v>46008</v>
      </c>
    </row>
    <row r="2" spans="1:107" x14ac:dyDescent="0.2">
      <c r="A2" s="235" t="s">
        <v>1552</v>
      </c>
      <c r="B2" s="235" t="s">
        <v>330</v>
      </c>
      <c r="C2" s="235">
        <v>27</v>
      </c>
      <c r="D2" s="13">
        <v>0</v>
      </c>
      <c r="E2" s="233">
        <v>0</v>
      </c>
      <c r="F2" s="236">
        <v>0</v>
      </c>
      <c r="G2" s="236">
        <v>0</v>
      </c>
      <c r="H2" s="4">
        <v>0</v>
      </c>
      <c r="I2" s="4">
        <v>0</v>
      </c>
      <c r="J2" s="4">
        <v>0</v>
      </c>
      <c r="K2" s="4">
        <v>0</v>
      </c>
      <c r="L2" s="4"/>
      <c r="M2" s="4">
        <v>0</v>
      </c>
      <c r="N2" s="4">
        <v>0</v>
      </c>
      <c r="O2" s="4">
        <v>0</v>
      </c>
      <c r="P2" s="4"/>
      <c r="Q2" s="4"/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 t="e">
        <f>-'My CCs'!#REF!</f>
        <v>#REF!</v>
      </c>
      <c r="AZ2" s="4"/>
      <c r="BA2" s="4"/>
      <c r="BB2" s="4"/>
      <c r="BC2" s="4"/>
      <c r="BD2" s="4"/>
      <c r="BE2" s="4"/>
      <c r="BF2" s="4"/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 t="e">
        <f>-'My CCs'!#REF!</f>
        <v>#REF!</v>
      </c>
      <c r="BO2" s="4" t="e">
        <f>-'My CCs'!#REF!</f>
        <v>#REF!</v>
      </c>
      <c r="BP2" s="4" t="e">
        <f>-'My CCs'!#REF!</f>
        <v>#REF!</v>
      </c>
      <c r="BQ2" s="4" t="e">
        <f>-'My CCs'!#REF!</f>
        <v>#REF!</v>
      </c>
      <c r="BR2" s="4" t="e">
        <f>-'My CCs'!#REF!</f>
        <v>#REF!</v>
      </c>
      <c r="BS2" s="4" t="e">
        <f>-'My CCs'!#REF!</f>
        <v>#REF!</v>
      </c>
      <c r="BT2" s="4" t="e">
        <f>-'My CCs'!#REF!</f>
        <v>#REF!</v>
      </c>
      <c r="BU2" s="4">
        <v>0</v>
      </c>
      <c r="BV2" s="4">
        <v>0</v>
      </c>
      <c r="BW2" s="442">
        <v>0</v>
      </c>
      <c r="BX2" s="4" t="e">
        <f>-'My CCs'!#REF!</f>
        <v>#REF!</v>
      </c>
      <c r="BY2" s="4" t="e">
        <f>-'My CCs'!#REF!</f>
        <v>#REF!</v>
      </c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>
        <v>0</v>
      </c>
      <c r="CO2" s="4">
        <v>0</v>
      </c>
      <c r="CP2" s="4">
        <v>0</v>
      </c>
      <c r="CQ2" s="4">
        <f>-'My CCs'!$N$7</f>
        <v>0</v>
      </c>
      <c r="CR2" s="4">
        <f>-'My CCs'!$N$7</f>
        <v>0</v>
      </c>
      <c r="CS2" s="4">
        <f>-'My CCs'!$N$7</f>
        <v>0</v>
      </c>
      <c r="CT2" s="4">
        <f>-'My CCs'!$N$7</f>
        <v>0</v>
      </c>
      <c r="CU2" s="4">
        <f>-'My CCs'!$N$7</f>
        <v>0</v>
      </c>
      <c r="CV2" s="4">
        <f>-'My CCs'!$N$7</f>
        <v>0</v>
      </c>
      <c r="CW2" s="4">
        <f>-'My CCs'!$N$7</f>
        <v>0</v>
      </c>
      <c r="CX2" s="4">
        <f>-'My CCs'!$N$7</f>
        <v>0</v>
      </c>
      <c r="CY2" s="4">
        <f>-'My CCs'!$N$7</f>
        <v>0</v>
      </c>
      <c r="CZ2" s="4">
        <f>-'My CCs'!$N$7</f>
        <v>0</v>
      </c>
      <c r="DA2" s="4">
        <f>-'My CCs'!$N$7</f>
        <v>0</v>
      </c>
      <c r="DB2" s="4">
        <f>-'My CCs'!$N$7</f>
        <v>0</v>
      </c>
      <c r="DC2" s="4">
        <f>-'My CCs'!$N$7</f>
        <v>0</v>
      </c>
    </row>
    <row r="3" spans="1:107" x14ac:dyDescent="0.2">
      <c r="A3" s="235" t="s">
        <v>1523</v>
      </c>
      <c r="B3" s="235" t="s">
        <v>330</v>
      </c>
      <c r="C3" s="235"/>
      <c r="D3" s="13"/>
      <c r="E3" s="233"/>
      <c r="F3" s="236"/>
      <c r="G3" s="23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 t="e">
        <f>-'My CCs'!#REF!</f>
        <v>#REF!</v>
      </c>
      <c r="BQ3" s="4">
        <v>0</v>
      </c>
      <c r="BR3" s="4" t="e">
        <f>-'My CCs'!#REF!</f>
        <v>#REF!</v>
      </c>
      <c r="BS3" s="4" t="e">
        <f>-'My CCs'!#REF!</f>
        <v>#REF!</v>
      </c>
      <c r="BT3" s="4" t="e">
        <f>-'My CCs'!#REF!</f>
        <v>#REF!</v>
      </c>
      <c r="BU3" s="4">
        <v>0</v>
      </c>
      <c r="BV3" s="4">
        <v>0</v>
      </c>
      <c r="BW3" s="442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/>
      <c r="CF3" s="4"/>
      <c r="CG3" s="4"/>
      <c r="CH3" s="4"/>
      <c r="CI3" s="4"/>
      <c r="CJ3" s="4"/>
      <c r="CK3" s="4"/>
      <c r="CL3" s="4"/>
      <c r="CM3" s="4">
        <f>-'My CCs'!$N$3</f>
        <v>0</v>
      </c>
      <c r="CN3" s="4">
        <f>-'My CCs'!$N$3</f>
        <v>0</v>
      </c>
      <c r="CO3" s="4">
        <f>-'My CCs'!$N$3</f>
        <v>0</v>
      </c>
      <c r="CP3" s="4">
        <f>-'My CCs'!$N$3</f>
        <v>0</v>
      </c>
      <c r="CQ3" s="4">
        <f>-'My CCs'!$N$3</f>
        <v>0</v>
      </c>
      <c r="CR3" s="4">
        <f>-'My CCs'!$N$3</f>
        <v>0</v>
      </c>
      <c r="CS3" s="4">
        <f>-'My CCs'!$N$3</f>
        <v>0</v>
      </c>
      <c r="CT3" s="4">
        <f>-'My CCs'!$N$3</f>
        <v>0</v>
      </c>
      <c r="CU3" s="4">
        <f>-'My CCs'!$N$3</f>
        <v>0</v>
      </c>
      <c r="CV3" s="4">
        <f>-'My CCs'!$N$3</f>
        <v>0</v>
      </c>
      <c r="CW3" s="4">
        <f>-'My CCs'!$N$3</f>
        <v>0</v>
      </c>
      <c r="CX3" s="4">
        <f>-'My CCs'!$N$3</f>
        <v>0</v>
      </c>
      <c r="CY3" s="4">
        <f>-'My CCs'!$N$3</f>
        <v>0</v>
      </c>
      <c r="CZ3" s="4">
        <f>-'My CCs'!$N$3</f>
        <v>0</v>
      </c>
      <c r="DA3" s="4">
        <f>-'My CCs'!$N$3</f>
        <v>0</v>
      </c>
      <c r="DB3" s="4">
        <f>-'My CCs'!$N$3</f>
        <v>0</v>
      </c>
      <c r="DC3" s="4">
        <f>-'My CCs'!$N$3</f>
        <v>0</v>
      </c>
    </row>
    <row r="4" spans="1:107" x14ac:dyDescent="0.2">
      <c r="A4" s="235" t="s">
        <v>331</v>
      </c>
      <c r="B4" s="235" t="s">
        <v>330</v>
      </c>
      <c r="C4" s="235">
        <v>4</v>
      </c>
      <c r="D4" s="13">
        <v>0</v>
      </c>
      <c r="E4" s="233">
        <v>0</v>
      </c>
      <c r="F4" s="236">
        <v>0</v>
      </c>
      <c r="G4" s="236">
        <v>0</v>
      </c>
      <c r="H4" s="4">
        <v>0</v>
      </c>
      <c r="I4" s="4">
        <v>0</v>
      </c>
      <c r="J4" s="4">
        <v>0</v>
      </c>
      <c r="K4" s="4">
        <v>0</v>
      </c>
      <c r="L4" s="4"/>
      <c r="M4" s="4">
        <v>0</v>
      </c>
      <c r="N4" s="4">
        <v>0</v>
      </c>
      <c r="O4" s="4">
        <v>0</v>
      </c>
      <c r="P4" s="4"/>
      <c r="Q4" s="4"/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/>
      <c r="AK4" s="4"/>
      <c r="AL4" s="4"/>
      <c r="AM4" s="4"/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/>
      <c r="BB4" s="4"/>
      <c r="BC4" s="4"/>
      <c r="BD4" s="4"/>
      <c r="BE4" s="4"/>
      <c r="BF4" s="4"/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f>-'My CCs'!$N$2</f>
        <v>0</v>
      </c>
      <c r="BP4" s="4">
        <f>-'My CCs'!$N$2</f>
        <v>0</v>
      </c>
      <c r="BQ4" s="4">
        <v>0</v>
      </c>
      <c r="BR4" s="4">
        <f>-'My CCs'!$N$2</f>
        <v>0</v>
      </c>
      <c r="BS4" s="4">
        <f>-'My CCs'!$N$2</f>
        <v>0</v>
      </c>
      <c r="BT4" s="4">
        <f>-'My CCs'!$N$2</f>
        <v>0</v>
      </c>
      <c r="BU4" s="4">
        <v>0</v>
      </c>
      <c r="BV4" s="4">
        <v>0</v>
      </c>
      <c r="BW4" s="442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f>-'My CCs'!$N$2</f>
        <v>0</v>
      </c>
      <c r="CR4" s="4">
        <f>-'My CCs'!$N$2</f>
        <v>0</v>
      </c>
      <c r="CS4" s="4">
        <f>-'My CCs'!$N$2</f>
        <v>0</v>
      </c>
      <c r="CT4" s="4">
        <f>-'My CCs'!$N$2</f>
        <v>0</v>
      </c>
      <c r="CU4" s="4">
        <f>-'My CCs'!$N$2</f>
        <v>0</v>
      </c>
      <c r="CV4" s="4">
        <f>-'My CCs'!$N$2</f>
        <v>0</v>
      </c>
      <c r="CW4" s="4">
        <f>-'My CCs'!$N$2</f>
        <v>0</v>
      </c>
      <c r="CX4" s="4">
        <f>-'My CCs'!$N$2</f>
        <v>0</v>
      </c>
      <c r="CY4" s="4">
        <f>-'My CCs'!$N$2</f>
        <v>0</v>
      </c>
      <c r="CZ4" s="4">
        <v>0</v>
      </c>
      <c r="DA4" s="4">
        <v>0</v>
      </c>
      <c r="DB4" s="4">
        <v>0</v>
      </c>
      <c r="DC4" s="4">
        <f>-'My CCs'!$N$2</f>
        <v>0</v>
      </c>
    </row>
    <row r="5" spans="1:107" x14ac:dyDescent="0.2">
      <c r="A5" s="235" t="s">
        <v>332</v>
      </c>
      <c r="B5" s="235" t="s">
        <v>330</v>
      </c>
      <c r="C5" s="235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>
        <v>0</v>
      </c>
      <c r="AB5" s="4">
        <v>0</v>
      </c>
      <c r="AC5" s="4">
        <v>0</v>
      </c>
      <c r="AD5" s="4"/>
      <c r="AE5" s="4"/>
      <c r="AF5" s="4">
        <v>0</v>
      </c>
      <c r="AG5" s="4"/>
      <c r="AH5" s="4">
        <v>0</v>
      </c>
      <c r="AI5" s="4"/>
      <c r="AJ5" s="4">
        <v>0</v>
      </c>
      <c r="AK5" s="4">
        <v>0</v>
      </c>
      <c r="AL5" s="4">
        <v>0</v>
      </c>
      <c r="AM5" s="4">
        <v>0</v>
      </c>
      <c r="AN5" s="4"/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/>
      <c r="BA5" s="4"/>
      <c r="BB5" s="4"/>
      <c r="BC5" s="4"/>
      <c r="BD5" s="4"/>
      <c r="BE5" s="4"/>
      <c r="BF5" s="4"/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f>-'My CCs'!$N$4</f>
        <v>-796.09</v>
      </c>
      <c r="BQ5" s="4">
        <v>0</v>
      </c>
      <c r="BR5" s="4">
        <f>-'My CCs'!$N$4</f>
        <v>-796.09</v>
      </c>
      <c r="BS5" s="4">
        <f>-'My CCs'!$N$4</f>
        <v>-796.09</v>
      </c>
      <c r="BT5" s="4">
        <f>-'My CCs'!$N$4</f>
        <v>-796.09</v>
      </c>
      <c r="BU5" s="4">
        <v>0</v>
      </c>
      <c r="BV5" s="4">
        <v>0</v>
      </c>
      <c r="BW5" s="442">
        <v>0</v>
      </c>
      <c r="BX5" s="442">
        <v>0</v>
      </c>
      <c r="BY5" s="442">
        <v>0</v>
      </c>
      <c r="BZ5" s="442">
        <v>0</v>
      </c>
      <c r="CA5" s="442">
        <v>0</v>
      </c>
      <c r="CB5" s="442">
        <v>0</v>
      </c>
      <c r="CC5" s="442">
        <v>0</v>
      </c>
      <c r="CD5" s="442">
        <v>0</v>
      </c>
      <c r="CE5" s="442">
        <v>0</v>
      </c>
      <c r="CF5" s="442">
        <v>0</v>
      </c>
      <c r="CG5" s="442">
        <v>0</v>
      </c>
      <c r="CH5" s="442">
        <v>0</v>
      </c>
      <c r="CI5" s="442">
        <v>0</v>
      </c>
      <c r="CJ5" s="442">
        <v>0</v>
      </c>
      <c r="CK5" s="4">
        <v>0</v>
      </c>
      <c r="CL5" s="4">
        <v>0</v>
      </c>
      <c r="CM5" s="4">
        <v>0</v>
      </c>
      <c r="CN5" s="442">
        <v>0</v>
      </c>
      <c r="CO5" s="442">
        <v>0</v>
      </c>
      <c r="CP5" s="442">
        <v>0</v>
      </c>
      <c r="CQ5" s="442">
        <f>-'My CCs'!$N$4</f>
        <v>-796.09</v>
      </c>
      <c r="CR5" s="442">
        <f>-'My CCs'!$N$4</f>
        <v>-796.09</v>
      </c>
      <c r="CS5" s="442">
        <f>-'My CCs'!$N$4</f>
        <v>-796.09</v>
      </c>
      <c r="CT5" s="442">
        <f>-'My CCs'!$N$4</f>
        <v>-796.09</v>
      </c>
      <c r="CU5" s="442">
        <f>-'My CCs'!$N$4</f>
        <v>-796.09</v>
      </c>
      <c r="CV5" s="4">
        <f>-'My CCs'!$N$4</f>
        <v>-796.09</v>
      </c>
      <c r="CW5" s="4">
        <f>-'My CCs'!$N$4</f>
        <v>-796.09</v>
      </c>
      <c r="CX5" s="442">
        <f>-'My CCs'!$N$4</f>
        <v>-796.09</v>
      </c>
      <c r="CY5" s="442">
        <f>-'My CCs'!$N$4</f>
        <v>-796.09</v>
      </c>
      <c r="CZ5" s="442">
        <f>-'My CCs'!$N$4</f>
        <v>-796.09</v>
      </c>
      <c r="DA5" s="442">
        <f>-'My CCs'!$N$4</f>
        <v>-796.09</v>
      </c>
      <c r="DB5" s="442">
        <f>-'My CCs'!$N$4</f>
        <v>-796.09</v>
      </c>
      <c r="DC5" s="4">
        <f>-'My CCs'!$N$4</f>
        <v>-796.09</v>
      </c>
    </row>
    <row r="6" spans="1:107" x14ac:dyDescent="0.2">
      <c r="A6" s="235" t="s">
        <v>1569</v>
      </c>
      <c r="B6" s="235" t="s">
        <v>330</v>
      </c>
      <c r="C6" s="235">
        <v>13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42"/>
      <c r="BX6" s="442"/>
      <c r="BY6" s="442"/>
      <c r="BZ6" s="442">
        <v>0</v>
      </c>
      <c r="CA6" s="442">
        <v>0</v>
      </c>
      <c r="CB6" s="4">
        <v>0</v>
      </c>
      <c r="CC6" s="4">
        <v>0</v>
      </c>
      <c r="CD6" s="4">
        <v>0</v>
      </c>
      <c r="CE6" s="4"/>
      <c r="CF6" s="4"/>
      <c r="CG6" s="4"/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f>-'My CCs'!$N$5</f>
        <v>-32812.620000000003</v>
      </c>
      <c r="CR6" s="4">
        <f>-'My CCs'!$N$5</f>
        <v>-32812.620000000003</v>
      </c>
      <c r="CS6" s="4">
        <f>-'My CCs'!$N$5</f>
        <v>-32812.620000000003</v>
      </c>
      <c r="CT6" s="4">
        <f>-'My CCs'!$N$5</f>
        <v>-32812.620000000003</v>
      </c>
      <c r="CU6" s="4">
        <f>-'My CCs'!$N$5</f>
        <v>-32812.620000000003</v>
      </c>
      <c r="CV6" s="4">
        <f>-'My CCs'!$N$5</f>
        <v>-32812.620000000003</v>
      </c>
      <c r="CW6" s="4">
        <f>-'My CCs'!$N$5</f>
        <v>-32812.620000000003</v>
      </c>
      <c r="CX6" s="4">
        <f>-'My CCs'!$N$5</f>
        <v>-32812.620000000003</v>
      </c>
      <c r="CY6" s="4">
        <f>-'My CCs'!$N$5</f>
        <v>-32812.620000000003</v>
      </c>
      <c r="CZ6" s="4">
        <f>-'My CCs'!$N$5</f>
        <v>-32812.620000000003</v>
      </c>
      <c r="DA6" s="4">
        <f>-'My CCs'!$N$5</f>
        <v>-32812.620000000003</v>
      </c>
      <c r="DB6" s="4">
        <f>-'My CCs'!$N$5</f>
        <v>-32812.620000000003</v>
      </c>
      <c r="DC6" s="4">
        <f>-'My CCs'!$N$5</f>
        <v>-32812.620000000003</v>
      </c>
    </row>
    <row r="7" spans="1:107" x14ac:dyDescent="0.2">
      <c r="A7" s="235" t="s">
        <v>333</v>
      </c>
      <c r="B7" s="235" t="s">
        <v>330</v>
      </c>
      <c r="C7" s="235">
        <v>30</v>
      </c>
      <c r="D7" s="4"/>
      <c r="E7" s="4"/>
      <c r="F7" s="4"/>
      <c r="G7" s="4"/>
      <c r="H7" s="4">
        <v>0</v>
      </c>
      <c r="I7" s="4">
        <v>0</v>
      </c>
      <c r="J7" s="4"/>
      <c r="K7" s="4">
        <v>0</v>
      </c>
      <c r="L7" s="4">
        <v>0</v>
      </c>
      <c r="M7" s="4">
        <v>0</v>
      </c>
      <c r="N7" s="4">
        <v>0</v>
      </c>
      <c r="O7" s="4">
        <v>0</v>
      </c>
      <c r="P7" s="4"/>
      <c r="Q7" s="4"/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/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/>
      <c r="AL7" s="4"/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/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f>-'My CCs'!$N$6</f>
        <v>0</v>
      </c>
      <c r="AZ7" s="4"/>
      <c r="BA7" s="4"/>
      <c r="BB7" s="4"/>
      <c r="BC7" s="4"/>
      <c r="BD7" s="4"/>
      <c r="BE7" s="4"/>
      <c r="BF7" s="4"/>
      <c r="BG7" s="4"/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f>-'My CCs'!$N$6</f>
        <v>0</v>
      </c>
      <c r="BO7" s="4">
        <f>-'My CCs'!$N$6</f>
        <v>0</v>
      </c>
      <c r="BP7" s="4">
        <f>-'My CCs'!$N$6</f>
        <v>0</v>
      </c>
      <c r="BQ7" s="4">
        <f>-'My CCs'!$N$6</f>
        <v>0</v>
      </c>
      <c r="BR7" s="4">
        <f>-'My CCs'!$N$6</f>
        <v>0</v>
      </c>
      <c r="BS7" s="4">
        <f>-'My CCs'!$N$6</f>
        <v>0</v>
      </c>
      <c r="BT7" s="4">
        <f>-'My CCs'!$N$6</f>
        <v>0</v>
      </c>
      <c r="BU7" s="4">
        <v>0</v>
      </c>
      <c r="BV7" s="4">
        <v>0</v>
      </c>
      <c r="BW7" s="442">
        <v>0</v>
      </c>
      <c r="BX7" s="4">
        <v>0</v>
      </c>
      <c r="BY7" s="4">
        <f>-'My CCs'!$N$6</f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f>-'My CCs'!$N$6</f>
        <v>0</v>
      </c>
      <c r="CR7" s="4">
        <f>-'My CCs'!$N$6</f>
        <v>0</v>
      </c>
      <c r="CS7" s="4">
        <f>-'My CCs'!$N$6</f>
        <v>0</v>
      </c>
      <c r="CT7" s="4">
        <f>-'My CCs'!$N$6</f>
        <v>0</v>
      </c>
      <c r="CU7" s="4">
        <f>-'My CCs'!$N$6</f>
        <v>0</v>
      </c>
      <c r="CV7" s="4">
        <f>-'My CCs'!$N$6</f>
        <v>0</v>
      </c>
      <c r="CW7" s="4">
        <f>-'My CCs'!$N$6</f>
        <v>0</v>
      </c>
      <c r="CX7" s="4">
        <f>-'My CCs'!$N$6</f>
        <v>0</v>
      </c>
      <c r="CY7" s="4">
        <f>-'My CCs'!$N$6</f>
        <v>0</v>
      </c>
      <c r="CZ7" s="4">
        <f>-'My CCs'!$N$6</f>
        <v>0</v>
      </c>
      <c r="DA7" s="4">
        <f>-'My CCs'!$N$6</f>
        <v>0</v>
      </c>
      <c r="DB7" s="4">
        <f>-'My CCs'!$N$6</f>
        <v>0</v>
      </c>
      <c r="DC7" s="4">
        <f>-'My CCs'!$N$6</f>
        <v>0</v>
      </c>
    </row>
    <row r="8" spans="1:107" x14ac:dyDescent="0.2">
      <c r="A8" s="438" t="s">
        <v>334</v>
      </c>
      <c r="B8" s="232" t="s">
        <v>335</v>
      </c>
      <c r="C8" s="232">
        <v>5</v>
      </c>
      <c r="D8" s="13"/>
      <c r="E8" s="233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234"/>
      <c r="AC8" s="234"/>
      <c r="AD8" s="234"/>
      <c r="AE8" s="234"/>
      <c r="AF8" s="234"/>
      <c r="AG8" s="234"/>
      <c r="AH8" s="234"/>
      <c r="AI8" s="234"/>
      <c r="AJ8" s="234"/>
      <c r="AK8" s="234"/>
      <c r="AL8" s="234"/>
      <c r="AM8" s="234"/>
      <c r="AN8" s="234"/>
      <c r="AO8" s="234"/>
      <c r="AP8" s="234"/>
      <c r="AQ8" s="234"/>
      <c r="AR8" s="234"/>
      <c r="AS8" s="234"/>
      <c r="AT8" s="234"/>
      <c r="AU8" s="234"/>
      <c r="AV8" s="234"/>
      <c r="AW8" s="234"/>
      <c r="AX8" s="234">
        <v>0</v>
      </c>
      <c r="AY8" s="234">
        <v>0</v>
      </c>
      <c r="AZ8" s="234">
        <v>0</v>
      </c>
      <c r="BA8" s="234"/>
      <c r="BB8" s="234"/>
      <c r="BC8" s="234"/>
      <c r="BD8" s="234"/>
      <c r="BE8" s="234"/>
      <c r="BF8" s="234"/>
      <c r="BG8" s="234">
        <v>0</v>
      </c>
      <c r="BH8" s="234">
        <v>0</v>
      </c>
      <c r="BI8" s="234">
        <v>0</v>
      </c>
      <c r="BJ8" s="234">
        <v>0</v>
      </c>
      <c r="BK8" s="234">
        <v>0</v>
      </c>
      <c r="BL8" s="234">
        <v>0</v>
      </c>
      <c r="BM8" s="234">
        <v>0</v>
      </c>
      <c r="BN8" s="234">
        <v>0</v>
      </c>
      <c r="BO8" s="234">
        <v>0</v>
      </c>
      <c r="BP8" s="234">
        <v>0</v>
      </c>
      <c r="BQ8" s="234"/>
      <c r="BR8" s="234">
        <v>0</v>
      </c>
      <c r="BS8" s="234">
        <v>-26025</v>
      </c>
      <c r="BT8" s="234">
        <v>-26025</v>
      </c>
      <c r="BU8" s="234">
        <v>0</v>
      </c>
      <c r="BV8" s="234">
        <v>0</v>
      </c>
      <c r="BW8" s="443">
        <v>0</v>
      </c>
      <c r="BX8" s="234">
        <v>0</v>
      </c>
      <c r="BY8" s="234">
        <v>0</v>
      </c>
      <c r="BZ8" s="234">
        <v>0</v>
      </c>
      <c r="CA8" s="234">
        <v>0</v>
      </c>
      <c r="CB8" s="234">
        <v>0</v>
      </c>
      <c r="CC8" s="234">
        <v>0</v>
      </c>
      <c r="CD8" s="234">
        <v>0</v>
      </c>
      <c r="CE8" s="234">
        <v>0</v>
      </c>
      <c r="CF8" s="234">
        <v>0</v>
      </c>
      <c r="CG8" s="234">
        <v>0</v>
      </c>
      <c r="CH8" s="234">
        <v>0</v>
      </c>
      <c r="CI8" s="234">
        <v>0</v>
      </c>
      <c r="CJ8" s="234">
        <v>0</v>
      </c>
      <c r="CK8" s="234">
        <v>0</v>
      </c>
      <c r="CL8" s="234">
        <v>0</v>
      </c>
      <c r="CM8" s="234">
        <v>0</v>
      </c>
      <c r="CN8" s="234">
        <v>0</v>
      </c>
      <c r="CO8" s="234">
        <v>0</v>
      </c>
      <c r="CP8" s="234">
        <v>0</v>
      </c>
      <c r="CQ8" s="234">
        <v>-83500</v>
      </c>
      <c r="CR8" s="234">
        <v>-83500</v>
      </c>
      <c r="CS8" s="234">
        <v>-83500</v>
      </c>
      <c r="CT8" s="234">
        <v>-83500</v>
      </c>
      <c r="CU8" s="234">
        <v>-83500</v>
      </c>
      <c r="CV8" s="234">
        <v>-83500</v>
      </c>
      <c r="CW8" s="234">
        <v>-83500</v>
      </c>
      <c r="CX8" s="234">
        <v>-83500</v>
      </c>
      <c r="CY8" s="234">
        <v>-83500</v>
      </c>
      <c r="CZ8" s="234">
        <v>-83500</v>
      </c>
      <c r="DA8" s="234">
        <v>-83500</v>
      </c>
      <c r="DB8" s="234">
        <v>-83500</v>
      </c>
      <c r="DC8" s="234">
        <v>-83500</v>
      </c>
    </row>
    <row r="9" spans="1:107" x14ac:dyDescent="0.2">
      <c r="A9" s="438" t="s">
        <v>336</v>
      </c>
      <c r="B9" s="232" t="s">
        <v>335</v>
      </c>
      <c r="C9" s="232">
        <v>5</v>
      </c>
      <c r="D9" s="13"/>
      <c r="E9" s="233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234"/>
      <c r="AL9" s="234"/>
      <c r="AM9" s="234"/>
      <c r="AN9" s="234"/>
      <c r="AO9" s="234"/>
      <c r="AP9" s="234"/>
      <c r="AQ9" s="234"/>
      <c r="AR9" s="234"/>
      <c r="AS9" s="234"/>
      <c r="AT9" s="234"/>
      <c r="AU9" s="234"/>
      <c r="AV9" s="234"/>
      <c r="AW9" s="234"/>
      <c r="AX9" s="234"/>
      <c r="AY9" s="234"/>
      <c r="AZ9" s="234"/>
      <c r="BA9" s="234"/>
      <c r="BB9" s="234"/>
      <c r="BC9" s="234"/>
      <c r="BD9" s="234"/>
      <c r="BE9" s="234"/>
      <c r="BF9" s="234"/>
      <c r="BG9" s="234"/>
      <c r="BH9" s="234"/>
      <c r="BI9" s="234"/>
      <c r="BJ9" s="234"/>
      <c r="BK9" s="234"/>
      <c r="BL9" s="234"/>
      <c r="BM9" s="234"/>
      <c r="BN9" s="234"/>
      <c r="BO9" s="234"/>
      <c r="BP9" s="234"/>
      <c r="BQ9" s="234"/>
      <c r="BR9" s="234"/>
      <c r="BS9" s="234"/>
      <c r="BT9" s="234"/>
      <c r="BU9" s="234"/>
      <c r="BV9" s="234"/>
      <c r="BW9" s="443"/>
      <c r="BX9" s="234"/>
      <c r="BY9" s="234">
        <v>0</v>
      </c>
      <c r="BZ9" s="234">
        <v>0</v>
      </c>
      <c r="CA9" s="234">
        <v>0</v>
      </c>
      <c r="CB9" s="234">
        <v>0</v>
      </c>
      <c r="CC9" s="234">
        <v>0</v>
      </c>
      <c r="CD9" s="234">
        <v>0</v>
      </c>
      <c r="CE9" s="234">
        <v>0</v>
      </c>
      <c r="CF9" s="234">
        <v>0</v>
      </c>
      <c r="CG9" s="234">
        <v>0</v>
      </c>
      <c r="CH9" s="234">
        <v>0</v>
      </c>
      <c r="CI9" s="234">
        <v>0</v>
      </c>
      <c r="CJ9" s="234">
        <v>0</v>
      </c>
      <c r="CK9" s="234">
        <v>0</v>
      </c>
      <c r="CL9" s="234">
        <v>0</v>
      </c>
      <c r="CM9" s="234">
        <v>0</v>
      </c>
      <c r="CN9" s="234">
        <v>0</v>
      </c>
      <c r="CO9" s="234">
        <v>0</v>
      </c>
      <c r="CP9" s="234">
        <v>0</v>
      </c>
      <c r="CQ9" s="234">
        <v>-1400</v>
      </c>
      <c r="CR9" s="234">
        <v>-1400</v>
      </c>
      <c r="CS9" s="234">
        <v>-1400</v>
      </c>
      <c r="CT9" s="234">
        <v>-1400</v>
      </c>
      <c r="CU9" s="234">
        <v>-1400</v>
      </c>
      <c r="CV9" s="234">
        <v>-1400</v>
      </c>
      <c r="CW9" s="234">
        <v>-1400</v>
      </c>
      <c r="CX9" s="234">
        <v>-1400</v>
      </c>
      <c r="CY9" s="234">
        <v>-1400</v>
      </c>
      <c r="CZ9" s="234">
        <v>-1400</v>
      </c>
      <c r="DA9" s="234">
        <v>-1400</v>
      </c>
      <c r="DB9" s="234">
        <v>-1400</v>
      </c>
      <c r="DC9" s="234">
        <v>-1400</v>
      </c>
    </row>
    <row r="10" spans="1:107" x14ac:dyDescent="0.2">
      <c r="A10" s="232" t="s">
        <v>337</v>
      </c>
      <c r="B10" s="232" t="s">
        <v>338</v>
      </c>
      <c r="C10" s="232">
        <v>10</v>
      </c>
      <c r="D10" s="13"/>
      <c r="E10" s="233">
        <v>0</v>
      </c>
      <c r="F10" s="234">
        <v>0</v>
      </c>
      <c r="G10" s="234">
        <v>0</v>
      </c>
      <c r="H10" s="234">
        <v>0</v>
      </c>
      <c r="I10" s="234">
        <v>0</v>
      </c>
      <c r="J10" s="234">
        <v>0</v>
      </c>
      <c r="K10" s="234">
        <v>0</v>
      </c>
      <c r="L10" s="234">
        <v>0</v>
      </c>
      <c r="M10" s="234">
        <v>0</v>
      </c>
      <c r="N10" s="234">
        <v>0</v>
      </c>
      <c r="O10" s="234">
        <v>0</v>
      </c>
      <c r="P10" s="234">
        <v>0</v>
      </c>
      <c r="Q10" s="234">
        <v>0</v>
      </c>
      <c r="R10" s="234">
        <v>0</v>
      </c>
      <c r="S10" s="234">
        <v>0</v>
      </c>
      <c r="T10" s="234">
        <v>0</v>
      </c>
      <c r="U10" s="234">
        <v>0</v>
      </c>
      <c r="V10" s="234">
        <v>0</v>
      </c>
      <c r="W10" s="234">
        <v>0</v>
      </c>
      <c r="X10" s="234">
        <v>0</v>
      </c>
      <c r="Y10" s="234">
        <v>0</v>
      </c>
      <c r="Z10" s="234">
        <v>0</v>
      </c>
      <c r="AA10" s="234">
        <v>0</v>
      </c>
      <c r="AB10" s="234">
        <v>0</v>
      </c>
      <c r="AC10" s="234">
        <v>0</v>
      </c>
      <c r="AD10" s="234">
        <v>0</v>
      </c>
      <c r="AE10" s="234">
        <v>0</v>
      </c>
      <c r="AF10" s="234">
        <v>0</v>
      </c>
      <c r="AG10" s="234">
        <v>0</v>
      </c>
      <c r="AH10" s="234">
        <v>0</v>
      </c>
      <c r="AI10" s="234">
        <v>0</v>
      </c>
      <c r="AJ10" s="234">
        <v>0</v>
      </c>
      <c r="AK10" s="234">
        <v>0</v>
      </c>
      <c r="AL10" s="234">
        <v>0</v>
      </c>
      <c r="AM10" s="234">
        <v>0</v>
      </c>
      <c r="AN10" s="234">
        <v>0</v>
      </c>
      <c r="AO10" s="234"/>
      <c r="AP10" s="234"/>
      <c r="AQ10" s="234"/>
      <c r="AR10" s="234"/>
      <c r="AS10" s="234"/>
      <c r="AT10" s="234"/>
      <c r="AU10" s="234"/>
      <c r="AV10" s="234"/>
      <c r="AW10" s="234"/>
      <c r="AX10" s="234"/>
      <c r="AY10" s="234"/>
      <c r="AZ10" s="234"/>
      <c r="BA10" s="234"/>
      <c r="BB10" s="234"/>
      <c r="BC10" s="234"/>
      <c r="BD10" s="234"/>
      <c r="BE10" s="234"/>
      <c r="BF10" s="234"/>
      <c r="BG10" s="234">
        <v>0</v>
      </c>
      <c r="BH10" s="234"/>
      <c r="BI10" s="234"/>
      <c r="BJ10" s="234"/>
      <c r="BK10" s="234"/>
      <c r="BL10" s="234"/>
      <c r="BM10" s="234"/>
      <c r="BN10" s="234">
        <v>0</v>
      </c>
      <c r="BO10" s="234">
        <v>0</v>
      </c>
      <c r="BP10" s="234">
        <v>0</v>
      </c>
      <c r="BQ10" s="234"/>
      <c r="BR10" s="234">
        <v>0</v>
      </c>
      <c r="BS10" s="234">
        <v>-17634</v>
      </c>
      <c r="BT10" s="234">
        <v>-17634</v>
      </c>
      <c r="BU10" s="234">
        <v>0</v>
      </c>
      <c r="BV10" s="234">
        <v>0</v>
      </c>
      <c r="BW10" s="443">
        <v>0</v>
      </c>
      <c r="BX10" s="234">
        <v>0</v>
      </c>
      <c r="BY10" s="234">
        <v>0</v>
      </c>
      <c r="BZ10" s="234">
        <v>0</v>
      </c>
      <c r="CA10" s="234">
        <v>0</v>
      </c>
      <c r="CB10" s="234">
        <v>0</v>
      </c>
      <c r="CC10" s="234">
        <v>0</v>
      </c>
      <c r="CD10" s="234">
        <v>0</v>
      </c>
      <c r="CE10" s="234">
        <v>0</v>
      </c>
      <c r="CF10" s="234">
        <v>0</v>
      </c>
      <c r="CG10" s="234">
        <v>0</v>
      </c>
      <c r="CH10" s="234">
        <v>0</v>
      </c>
      <c r="CI10" s="234">
        <v>0</v>
      </c>
      <c r="CJ10" s="234">
        <v>0</v>
      </c>
      <c r="CK10" s="234">
        <v>0</v>
      </c>
      <c r="CL10" s="234">
        <v>0</v>
      </c>
      <c r="CM10" s="234">
        <v>0</v>
      </c>
      <c r="CN10" s="234">
        <v>0</v>
      </c>
      <c r="CO10" s="234">
        <v>0</v>
      </c>
      <c r="CP10" s="234">
        <v>0</v>
      </c>
      <c r="CQ10" s="234">
        <v>-42017</v>
      </c>
      <c r="CR10" s="234">
        <v>-42017</v>
      </c>
      <c r="CS10" s="234">
        <v>-42017</v>
      </c>
      <c r="CT10" s="234">
        <v>-42017</v>
      </c>
      <c r="CU10" s="234">
        <v>-42017</v>
      </c>
      <c r="CV10" s="234">
        <v>-42017</v>
      </c>
      <c r="CW10" s="234">
        <v>-42017</v>
      </c>
      <c r="CX10" s="234">
        <v>-42017</v>
      </c>
      <c r="CY10" s="234">
        <v>-42017</v>
      </c>
      <c r="CZ10" s="234">
        <v>-42017</v>
      </c>
      <c r="DA10" s="234">
        <v>-42017</v>
      </c>
      <c r="DB10" s="234">
        <v>-42017</v>
      </c>
      <c r="DC10" s="234">
        <v>-42017</v>
      </c>
    </row>
    <row r="11" spans="1:107" x14ac:dyDescent="0.2">
      <c r="A11" s="5" t="s">
        <v>339</v>
      </c>
      <c r="B11" s="5"/>
      <c r="C11" s="5">
        <v>20</v>
      </c>
      <c r="D11" s="4">
        <v>0</v>
      </c>
      <c r="E11" s="233">
        <v>0</v>
      </c>
      <c r="F11" s="236">
        <v>0</v>
      </c>
      <c r="G11" s="236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/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234">
        <v>0</v>
      </c>
      <c r="AP11" s="234">
        <v>0</v>
      </c>
      <c r="AQ11" s="234">
        <v>0</v>
      </c>
      <c r="AR11" s="234">
        <v>0</v>
      </c>
      <c r="AS11" s="234">
        <v>0</v>
      </c>
      <c r="AT11" s="234">
        <v>0</v>
      </c>
      <c r="AU11" s="234" t="s">
        <v>340</v>
      </c>
      <c r="AV11" s="234"/>
      <c r="AW11" s="234"/>
      <c r="AX11" s="234"/>
      <c r="AY11" s="234"/>
      <c r="AZ11" s="234"/>
      <c r="BA11" s="234"/>
      <c r="BB11" s="234"/>
      <c r="BC11" s="234"/>
      <c r="BD11" s="234"/>
      <c r="BE11" s="234"/>
      <c r="BF11" s="234"/>
      <c r="BG11" s="234"/>
      <c r="BH11" s="234"/>
      <c r="BI11" s="234"/>
      <c r="BJ11" s="234"/>
      <c r="BK11" s="234"/>
      <c r="BL11" s="234"/>
      <c r="BM11" s="234"/>
      <c r="BN11" s="234"/>
      <c r="BO11" s="234"/>
      <c r="BP11" s="234"/>
      <c r="BQ11" s="234"/>
      <c r="BR11" s="234"/>
      <c r="BS11" s="234"/>
      <c r="BT11" s="234"/>
      <c r="BU11" s="234"/>
      <c r="BV11" s="234">
        <v>0</v>
      </c>
      <c r="BW11" s="443"/>
      <c r="BX11" s="234"/>
      <c r="BY11" s="234"/>
      <c r="BZ11" s="234"/>
      <c r="CA11" s="234"/>
      <c r="CB11" s="234"/>
      <c r="CC11" s="234"/>
      <c r="CD11" s="234"/>
      <c r="CE11" s="234"/>
      <c r="CF11" s="234"/>
      <c r="CG11" s="234"/>
      <c r="CH11" s="234"/>
      <c r="CI11" s="234"/>
      <c r="CJ11" s="234"/>
      <c r="CK11" s="234"/>
      <c r="CL11" s="234"/>
      <c r="CM11" s="234"/>
      <c r="CN11" s="234"/>
      <c r="CO11" s="234"/>
      <c r="CP11" s="234"/>
      <c r="CQ11" s="234"/>
      <c r="CR11" s="234"/>
      <c r="CS11" s="234"/>
      <c r="CT11" s="234"/>
      <c r="CU11" s="234"/>
      <c r="CV11" s="234"/>
      <c r="CW11" s="234"/>
      <c r="CX11" s="234"/>
      <c r="CY11" s="234"/>
      <c r="CZ11" s="234"/>
      <c r="DA11" s="234"/>
      <c r="DB11" s="234"/>
      <c r="DC11" s="234"/>
    </row>
    <row r="12" spans="1:107" x14ac:dyDescent="0.2">
      <c r="A12" s="438" t="s">
        <v>341</v>
      </c>
      <c r="B12" s="235"/>
      <c r="C12" s="235">
        <v>15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42"/>
      <c r="BX12" s="4">
        <v>0</v>
      </c>
      <c r="BY12" s="4"/>
      <c r="BZ12" s="4"/>
      <c r="CA12" s="4">
        <v>0</v>
      </c>
      <c r="CB12" s="4"/>
      <c r="CC12" s="4"/>
      <c r="CD12" s="4">
        <v>0</v>
      </c>
      <c r="CE12" s="4"/>
      <c r="CF12" s="4"/>
      <c r="CG12" s="4">
        <v>0</v>
      </c>
      <c r="CH12" s="4"/>
      <c r="CI12" s="4"/>
      <c r="CJ12" s="4">
        <v>0</v>
      </c>
      <c r="CK12" s="4"/>
      <c r="CL12" s="4"/>
      <c r="CM12" s="4">
        <v>0</v>
      </c>
      <c r="CN12" s="4"/>
      <c r="CO12" s="4">
        <v>0</v>
      </c>
      <c r="CP12" s="4"/>
      <c r="CQ12" s="4"/>
      <c r="CR12" s="4">
        <v>-21000</v>
      </c>
      <c r="CS12" s="4"/>
      <c r="CT12" s="4"/>
      <c r="CU12" s="4">
        <v>-21000</v>
      </c>
      <c r="CV12" s="4"/>
      <c r="CW12" s="4"/>
      <c r="CX12" s="4"/>
      <c r="CY12" s="4"/>
      <c r="CZ12" s="4"/>
      <c r="DA12" s="4">
        <v>0</v>
      </c>
      <c r="DB12" s="4">
        <v>0</v>
      </c>
      <c r="DC12" s="4"/>
    </row>
    <row r="13" spans="1:107" x14ac:dyDescent="0.2">
      <c r="A13" s="232" t="s">
        <v>342</v>
      </c>
      <c r="B13" s="232"/>
      <c r="C13" s="232">
        <v>2</v>
      </c>
      <c r="D13" s="13">
        <v>0</v>
      </c>
      <c r="E13" s="233">
        <v>0</v>
      </c>
      <c r="F13" s="234">
        <v>0</v>
      </c>
      <c r="G13" s="234">
        <v>0</v>
      </c>
      <c r="H13" s="234">
        <v>0</v>
      </c>
      <c r="I13" s="234">
        <v>0</v>
      </c>
      <c r="J13" s="234">
        <v>0</v>
      </c>
      <c r="K13" s="234">
        <v>0</v>
      </c>
      <c r="L13" s="234">
        <v>0</v>
      </c>
      <c r="M13" s="234">
        <v>0</v>
      </c>
      <c r="N13" s="234">
        <v>0</v>
      </c>
      <c r="O13" s="234">
        <v>0</v>
      </c>
      <c r="P13" s="234"/>
      <c r="Q13" s="234">
        <v>0</v>
      </c>
      <c r="R13" s="234"/>
      <c r="S13" s="234">
        <v>0</v>
      </c>
      <c r="T13" s="234">
        <v>0</v>
      </c>
      <c r="U13" s="234">
        <v>0</v>
      </c>
      <c r="V13" s="234">
        <v>0</v>
      </c>
      <c r="W13" s="234">
        <v>0</v>
      </c>
      <c r="X13" s="234">
        <v>0</v>
      </c>
      <c r="Y13" s="234">
        <v>0</v>
      </c>
      <c r="Z13" s="234">
        <v>0</v>
      </c>
      <c r="AA13" s="234">
        <v>0</v>
      </c>
      <c r="AB13" s="234">
        <v>0</v>
      </c>
      <c r="AC13" s="234"/>
      <c r="AD13" s="234">
        <v>0</v>
      </c>
      <c r="AE13" s="234">
        <v>0</v>
      </c>
      <c r="AF13" s="234">
        <v>0</v>
      </c>
      <c r="AG13" s="234">
        <v>0</v>
      </c>
      <c r="AH13" s="234">
        <v>0</v>
      </c>
      <c r="AI13" s="234"/>
      <c r="AJ13" s="234">
        <v>0</v>
      </c>
      <c r="AK13" s="234">
        <v>0</v>
      </c>
      <c r="AL13" s="234"/>
      <c r="AM13" s="234">
        <v>0</v>
      </c>
      <c r="AN13" s="234">
        <v>0</v>
      </c>
      <c r="AO13" s="234">
        <v>0</v>
      </c>
      <c r="AP13" s="234"/>
      <c r="AQ13" s="234">
        <v>0</v>
      </c>
      <c r="AR13" s="234">
        <v>0</v>
      </c>
      <c r="AS13" s="234">
        <v>0</v>
      </c>
      <c r="AT13" s="234">
        <v>0</v>
      </c>
      <c r="AU13" s="234">
        <v>0</v>
      </c>
      <c r="AV13" s="234">
        <v>0</v>
      </c>
      <c r="AW13" s="234">
        <v>0</v>
      </c>
      <c r="AX13" s="234">
        <v>0</v>
      </c>
      <c r="AY13" s="234">
        <v>0</v>
      </c>
      <c r="AZ13" s="234">
        <v>0</v>
      </c>
      <c r="BA13" s="234"/>
      <c r="BB13" s="234"/>
      <c r="BC13" s="234"/>
      <c r="BD13" s="234"/>
      <c r="BE13" s="234"/>
      <c r="BF13" s="234"/>
      <c r="BG13" s="234">
        <v>0</v>
      </c>
      <c r="BH13" s="234">
        <v>0</v>
      </c>
      <c r="BI13" s="234">
        <v>0</v>
      </c>
      <c r="BJ13" s="234">
        <v>0</v>
      </c>
      <c r="BK13" s="234">
        <v>0</v>
      </c>
      <c r="BL13" s="234">
        <v>0</v>
      </c>
      <c r="BM13" s="234">
        <v>0</v>
      </c>
      <c r="BN13" s="234">
        <v>0</v>
      </c>
      <c r="BO13" s="234">
        <v>0</v>
      </c>
      <c r="BP13" s="234">
        <v>0</v>
      </c>
      <c r="BQ13" s="234"/>
      <c r="BR13" s="234">
        <v>0</v>
      </c>
      <c r="BS13" s="234">
        <v>-100</v>
      </c>
      <c r="BT13" s="234">
        <v>-100</v>
      </c>
      <c r="BU13" s="234"/>
      <c r="BV13" s="234">
        <v>0</v>
      </c>
      <c r="BW13" s="443">
        <v>0</v>
      </c>
      <c r="BX13" s="234">
        <v>0</v>
      </c>
      <c r="BY13" s="234">
        <v>0</v>
      </c>
      <c r="BZ13" s="234">
        <v>0</v>
      </c>
      <c r="CA13" s="234">
        <v>0</v>
      </c>
      <c r="CB13" s="234">
        <v>0</v>
      </c>
      <c r="CC13" s="234">
        <v>0</v>
      </c>
      <c r="CD13" s="234">
        <v>0</v>
      </c>
      <c r="CE13" s="234">
        <v>0</v>
      </c>
      <c r="CF13" s="234">
        <v>0</v>
      </c>
      <c r="CG13" s="234">
        <v>0</v>
      </c>
      <c r="CH13" s="234">
        <v>0</v>
      </c>
      <c r="CI13" s="234">
        <v>0</v>
      </c>
      <c r="CJ13" s="234">
        <v>0</v>
      </c>
      <c r="CK13" s="234">
        <v>0</v>
      </c>
      <c r="CL13" s="234">
        <v>0</v>
      </c>
      <c r="CM13" s="234"/>
      <c r="CN13" s="234">
        <v>0</v>
      </c>
      <c r="CO13" s="234">
        <v>0</v>
      </c>
      <c r="CP13" s="234">
        <v>0</v>
      </c>
      <c r="CQ13" s="234">
        <v>0</v>
      </c>
      <c r="CR13" s="234">
        <v>-500</v>
      </c>
      <c r="CS13" s="234">
        <v>-500</v>
      </c>
      <c r="CT13" s="234">
        <v>-500</v>
      </c>
      <c r="CU13" s="234">
        <v>-500</v>
      </c>
      <c r="CV13" s="234">
        <v>-500</v>
      </c>
      <c r="CW13" s="234">
        <v>-500</v>
      </c>
      <c r="CX13" s="234">
        <v>-500</v>
      </c>
      <c r="CY13" s="234">
        <v>-500</v>
      </c>
      <c r="CZ13" s="234">
        <v>-500</v>
      </c>
      <c r="DA13" s="234">
        <v>-500</v>
      </c>
      <c r="DB13" s="234">
        <v>-500</v>
      </c>
      <c r="DC13" s="234">
        <v>-500</v>
      </c>
    </row>
    <row r="14" spans="1:107" x14ac:dyDescent="0.2">
      <c r="A14" s="5" t="s">
        <v>343</v>
      </c>
      <c r="B14" s="5"/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/>
      <c r="BT14" s="4"/>
      <c r="BU14" s="4"/>
      <c r="BV14" s="4">
        <v>0</v>
      </c>
      <c r="BW14" s="442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-500</v>
      </c>
      <c r="CS14" s="4">
        <v>-500</v>
      </c>
      <c r="CT14" s="4">
        <v>-500</v>
      </c>
      <c r="CU14" s="4">
        <v>-500</v>
      </c>
      <c r="CV14" s="4">
        <v>-500</v>
      </c>
      <c r="CW14" s="4">
        <v>-500</v>
      </c>
      <c r="CX14" s="4">
        <v>-500</v>
      </c>
      <c r="CY14" s="4">
        <v>-500</v>
      </c>
      <c r="CZ14" s="4">
        <v>-500</v>
      </c>
      <c r="DA14" s="4">
        <v>-500</v>
      </c>
      <c r="DB14" s="4">
        <v>-500</v>
      </c>
      <c r="DC14" s="4">
        <v>-500</v>
      </c>
    </row>
    <row r="15" spans="1:107" x14ac:dyDescent="0.2">
      <c r="A15" s="5" t="s">
        <v>344</v>
      </c>
      <c r="B15" s="5"/>
      <c r="C15" s="5">
        <v>24</v>
      </c>
      <c r="D15" s="4"/>
      <c r="E15" s="4"/>
      <c r="F15" s="4"/>
      <c r="G15" s="4"/>
      <c r="H15" s="4">
        <v>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>
        <v>0</v>
      </c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42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</row>
    <row r="16" spans="1:107" x14ac:dyDescent="0.2">
      <c r="A16" s="5" t="s">
        <v>1551</v>
      </c>
      <c r="B16" s="5"/>
      <c r="C16" s="5">
        <v>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42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>
        <v>0</v>
      </c>
      <c r="CO16" s="4">
        <v>0</v>
      </c>
      <c r="CP16" s="4">
        <v>0</v>
      </c>
      <c r="CQ16" s="4">
        <v>0</v>
      </c>
      <c r="CR16" s="4">
        <v>-6000</v>
      </c>
      <c r="CS16" s="4">
        <v>-6000</v>
      </c>
      <c r="CT16" s="4">
        <v>-6000</v>
      </c>
      <c r="CU16" s="4">
        <v>-6000</v>
      </c>
      <c r="CV16" s="4">
        <v>-6000</v>
      </c>
      <c r="CW16" s="4">
        <v>-6000</v>
      </c>
      <c r="CX16" s="4">
        <v>-6000</v>
      </c>
      <c r="CY16" s="4">
        <v>-6000</v>
      </c>
      <c r="CZ16" s="4">
        <v>-6000</v>
      </c>
      <c r="DA16" s="4">
        <v>-6000</v>
      </c>
      <c r="DB16" s="4">
        <v>-6000</v>
      </c>
      <c r="DC16" s="4">
        <v>-6000</v>
      </c>
    </row>
    <row r="17" spans="1:109" x14ac:dyDescent="0.2">
      <c r="A17" s="5" t="s">
        <v>346</v>
      </c>
      <c r="B17" s="5"/>
      <c r="C17" s="5"/>
      <c r="D17" s="13">
        <v>0</v>
      </c>
      <c r="E17" s="233">
        <v>0</v>
      </c>
      <c r="F17" s="4"/>
      <c r="G17" s="4"/>
      <c r="H17" s="4"/>
      <c r="I17" s="4"/>
      <c r="J17" s="4"/>
      <c r="K17" s="4"/>
      <c r="L17" s="4"/>
      <c r="M17" s="4"/>
      <c r="N17" s="4">
        <v>0</v>
      </c>
      <c r="O17" s="4"/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 t="s">
        <v>168</v>
      </c>
      <c r="AH17" s="4">
        <v>0</v>
      </c>
      <c r="AI17" s="4">
        <v>0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>
        <v>0</v>
      </c>
      <c r="BS17" s="4"/>
      <c r="BT17" s="4"/>
      <c r="BU17" s="4"/>
      <c r="BV17" s="4">
        <v>0</v>
      </c>
      <c r="BW17" s="442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>
        <v>-1000</v>
      </c>
      <c r="CU17" s="4"/>
      <c r="CV17" s="4"/>
      <c r="CW17" s="4"/>
      <c r="CX17" s="4"/>
      <c r="CY17" s="4"/>
      <c r="CZ17" s="4"/>
      <c r="DA17" s="4"/>
      <c r="DB17" s="4"/>
      <c r="DC17" s="4"/>
    </row>
    <row r="18" spans="1:109" x14ac:dyDescent="0.2">
      <c r="A18" s="5" t="s">
        <v>348</v>
      </c>
      <c r="B18" s="5"/>
      <c r="C18" s="5">
        <v>27</v>
      </c>
      <c r="D18" s="4"/>
      <c r="E18" s="4"/>
      <c r="F18" s="4"/>
      <c r="G18" s="236"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37"/>
      <c r="W18" s="237">
        <v>0</v>
      </c>
      <c r="X18" s="237"/>
      <c r="Y18" s="237"/>
      <c r="Z18" s="237"/>
      <c r="AA18" s="4"/>
      <c r="AB18" s="4"/>
      <c r="AC18" s="4"/>
      <c r="AD18" s="4"/>
      <c r="AE18" s="4"/>
      <c r="AF18" s="4"/>
      <c r="AG18" s="4">
        <v>0</v>
      </c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42"/>
      <c r="BX18" s="4"/>
      <c r="BY18" s="4"/>
      <c r="BZ18" s="4"/>
      <c r="CA18" s="4"/>
      <c r="CB18" s="4"/>
      <c r="CC18" s="4"/>
      <c r="CD18" s="4"/>
      <c r="CE18" s="4">
        <v>0</v>
      </c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>
        <v>0</v>
      </c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>
        <v>-10148</v>
      </c>
      <c r="DC18" s="4"/>
    </row>
    <row r="19" spans="1:109" x14ac:dyDescent="0.2">
      <c r="A19" s="5" t="s">
        <v>350</v>
      </c>
      <c r="B19" s="5"/>
      <c r="C19" s="5">
        <v>12</v>
      </c>
      <c r="D19" s="13">
        <v>0</v>
      </c>
      <c r="E19" s="233">
        <v>0</v>
      </c>
      <c r="F19" s="4"/>
      <c r="G19" s="4"/>
      <c r="H19" s="4"/>
      <c r="I19" s="4">
        <v>0</v>
      </c>
      <c r="J19" s="4"/>
      <c r="K19" s="4"/>
      <c r="L19" s="4"/>
      <c r="M19" s="4"/>
      <c r="N19" s="4"/>
      <c r="O19" s="4"/>
      <c r="P19" s="4"/>
      <c r="Q19" s="4">
        <v>0</v>
      </c>
      <c r="R19" s="4"/>
      <c r="S19" s="4"/>
      <c r="T19" s="4"/>
      <c r="U19" s="4">
        <v>0</v>
      </c>
      <c r="V19" s="4"/>
      <c r="W19" s="4"/>
      <c r="X19" s="4"/>
      <c r="Y19" s="4"/>
      <c r="Z19" s="4"/>
      <c r="AA19" s="4"/>
      <c r="AB19" s="4"/>
      <c r="AC19" s="4">
        <v>0</v>
      </c>
      <c r="AD19" s="4"/>
      <c r="AE19" s="4"/>
      <c r="AF19" s="4"/>
      <c r="AG19" s="4"/>
      <c r="AH19" s="4">
        <v>0</v>
      </c>
      <c r="AI19" s="4"/>
      <c r="AJ19" s="4"/>
      <c r="AK19" s="4"/>
      <c r="AL19" s="4"/>
      <c r="AM19" s="4"/>
      <c r="AN19" s="4"/>
      <c r="AO19" s="4"/>
      <c r="AP19" s="4">
        <v>0</v>
      </c>
      <c r="AQ19" s="4"/>
      <c r="AR19" s="4"/>
      <c r="AS19" s="4"/>
      <c r="AT19" s="4">
        <v>0</v>
      </c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>
        <v>0</v>
      </c>
      <c r="BS19" s="4"/>
      <c r="BT19" s="4"/>
      <c r="BU19" s="4"/>
      <c r="BV19" s="4"/>
      <c r="BW19" s="4"/>
      <c r="BX19" s="4"/>
      <c r="BY19" s="4">
        <v>0</v>
      </c>
      <c r="BZ19" s="4"/>
      <c r="CA19" s="4"/>
      <c r="CB19" s="4"/>
      <c r="CC19" s="4"/>
      <c r="CD19" s="4">
        <v>0</v>
      </c>
      <c r="CE19" s="4"/>
      <c r="CF19" s="4"/>
      <c r="CG19" s="4"/>
      <c r="CH19" s="4"/>
      <c r="CI19" s="4"/>
      <c r="CJ19" s="4"/>
      <c r="CK19" s="4">
        <v>0</v>
      </c>
      <c r="CL19" s="4"/>
      <c r="CM19" s="4"/>
      <c r="CN19" s="4"/>
      <c r="CO19" s="4">
        <v>0</v>
      </c>
      <c r="CP19" s="4"/>
      <c r="CQ19" s="4"/>
      <c r="CR19" s="4"/>
      <c r="CS19" s="4"/>
      <c r="CT19" s="4"/>
      <c r="CU19" s="4"/>
      <c r="CV19" s="4">
        <v>-6210</v>
      </c>
      <c r="CW19" s="4"/>
      <c r="CX19" s="4"/>
      <c r="CY19" s="4"/>
      <c r="CZ19" s="4"/>
      <c r="DA19" s="4"/>
      <c r="DB19" s="4">
        <v>0</v>
      </c>
      <c r="DC19" s="4"/>
    </row>
    <row r="20" spans="1:109" x14ac:dyDescent="0.2">
      <c r="A20" s="5" t="s">
        <v>353</v>
      </c>
      <c r="B20" s="5"/>
      <c r="C20" s="5">
        <v>6</v>
      </c>
      <c r="D20" s="4"/>
      <c r="E20" s="233">
        <v>0</v>
      </c>
      <c r="F20" s="233">
        <v>0</v>
      </c>
      <c r="G20" s="236">
        <v>0</v>
      </c>
      <c r="H20" s="4">
        <v>0</v>
      </c>
      <c r="I20" s="4"/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238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/>
      <c r="AP20" s="4">
        <v>0</v>
      </c>
      <c r="AQ20" s="4"/>
      <c r="AR20" s="4">
        <v>0</v>
      </c>
      <c r="AS20" s="4"/>
      <c r="AT20" s="4"/>
      <c r="AU20" s="4"/>
      <c r="AV20" s="4"/>
      <c r="AW20" s="4"/>
      <c r="AX20" s="4"/>
      <c r="AY20" s="4"/>
      <c r="AZ20" s="4">
        <v>0</v>
      </c>
      <c r="BA20" s="4"/>
      <c r="BB20" s="4"/>
      <c r="BC20" s="4"/>
      <c r="BD20" s="4"/>
      <c r="BE20" s="4"/>
      <c r="BF20" s="4"/>
      <c r="BG20" s="4"/>
      <c r="BH20" s="4"/>
      <c r="BI20" s="4"/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42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-5000</v>
      </c>
      <c r="CS20" s="4">
        <v>-5000</v>
      </c>
      <c r="CT20" s="4">
        <v>-5000</v>
      </c>
      <c r="CU20" s="4">
        <v>-5000</v>
      </c>
      <c r="CV20" s="4">
        <v>-5000</v>
      </c>
      <c r="CW20" s="4">
        <v>-5000</v>
      </c>
      <c r="CX20" s="4">
        <v>-5000</v>
      </c>
      <c r="CY20" s="4">
        <v>-5000</v>
      </c>
      <c r="CZ20" s="4">
        <v>-5000</v>
      </c>
      <c r="DA20" s="4">
        <v>-5000</v>
      </c>
      <c r="DB20" s="4">
        <v>-5000</v>
      </c>
      <c r="DC20" s="4">
        <v>-5000</v>
      </c>
      <c r="DD20" s="2">
        <v>300000</v>
      </c>
      <c r="DE20" s="2">
        <f>13.75*DD20/1200</f>
        <v>3437.5</v>
      </c>
    </row>
    <row r="21" spans="1:109" x14ac:dyDescent="0.2">
      <c r="A21" s="5" t="s">
        <v>355</v>
      </c>
      <c r="B21" s="5"/>
      <c r="C21" s="5">
        <v>25</v>
      </c>
      <c r="D21" s="4">
        <v>0</v>
      </c>
      <c r="E21" s="4">
        <v>0</v>
      </c>
      <c r="F21" s="236">
        <v>0</v>
      </c>
      <c r="G21" s="236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/>
      <c r="O21" s="4"/>
      <c r="P21" s="4">
        <v>0</v>
      </c>
      <c r="Q21" s="4"/>
      <c r="R21" s="4"/>
      <c r="S21" s="4"/>
      <c r="T21" s="4">
        <v>0</v>
      </c>
      <c r="U21" s="4"/>
      <c r="V21" s="4"/>
      <c r="W21" s="240">
        <v>0</v>
      </c>
      <c r="X21" s="240"/>
      <c r="Y21" s="240"/>
      <c r="Z21" s="240">
        <v>0</v>
      </c>
      <c r="AA21" s="4"/>
      <c r="AB21" s="4"/>
      <c r="AC21" s="4">
        <v>0</v>
      </c>
      <c r="AD21" s="4"/>
      <c r="AE21" s="4"/>
      <c r="AF21" s="4">
        <v>0</v>
      </c>
      <c r="AG21" s="4"/>
      <c r="AH21" s="4"/>
      <c r="AI21" s="4">
        <v>0</v>
      </c>
      <c r="AJ21" s="4">
        <v>0</v>
      </c>
      <c r="AK21" s="4"/>
      <c r="AL21" s="4">
        <v>0</v>
      </c>
      <c r="AM21" s="4">
        <v>0</v>
      </c>
      <c r="AN21" s="4"/>
      <c r="AO21" s="4">
        <v>0</v>
      </c>
      <c r="AP21" s="4">
        <v>0</v>
      </c>
      <c r="AQ21" s="4">
        <v>0</v>
      </c>
      <c r="AR21" s="4"/>
      <c r="AS21" s="4">
        <v>0</v>
      </c>
      <c r="AT21" s="4">
        <v>0</v>
      </c>
      <c r="AU21" s="4"/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/>
      <c r="BC21" s="4"/>
      <c r="BD21" s="4"/>
      <c r="BE21" s="4"/>
      <c r="BF21" s="4"/>
      <c r="BG21" s="4"/>
      <c r="BH21" s="4">
        <v>0</v>
      </c>
      <c r="BI21" s="4">
        <v>0</v>
      </c>
      <c r="BJ21" s="4"/>
      <c r="BK21" s="4">
        <v>0</v>
      </c>
      <c r="BL21" s="4"/>
      <c r="BM21" s="4"/>
      <c r="BN21" s="4">
        <v>0</v>
      </c>
      <c r="BO21" s="4"/>
      <c r="BP21" s="4"/>
      <c r="BQ21" s="4">
        <v>0</v>
      </c>
      <c r="BR21" s="4"/>
      <c r="BS21" s="4"/>
      <c r="BT21" s="4">
        <v>0</v>
      </c>
      <c r="BU21" s="4"/>
      <c r="BV21" s="4"/>
      <c r="BW21" s="442"/>
      <c r="BX21" s="4"/>
      <c r="BY21" s="4"/>
      <c r="BZ21" s="4">
        <v>0</v>
      </c>
      <c r="CA21" s="4"/>
      <c r="CB21" s="4"/>
      <c r="CC21" s="4">
        <v>0</v>
      </c>
      <c r="CD21" s="4"/>
      <c r="CE21" s="4"/>
      <c r="CF21" s="4">
        <v>0</v>
      </c>
      <c r="CG21" s="4"/>
      <c r="CH21" s="4"/>
      <c r="CI21" s="4"/>
      <c r="CJ21" s="4">
        <v>0</v>
      </c>
      <c r="CK21" s="4"/>
      <c r="CL21" s="4"/>
      <c r="CM21" s="4">
        <v>0</v>
      </c>
      <c r="CN21" s="4"/>
      <c r="CO21" s="4">
        <v>0</v>
      </c>
      <c r="CP21" s="4"/>
      <c r="CQ21" s="4"/>
      <c r="CR21" s="4"/>
      <c r="CS21" s="4">
        <v>-864</v>
      </c>
      <c r="CT21" s="4"/>
      <c r="CU21" s="4"/>
      <c r="CV21" s="4">
        <v>-864</v>
      </c>
      <c r="CW21" s="4"/>
      <c r="CX21" s="4"/>
      <c r="CY21" s="4">
        <v>-864</v>
      </c>
      <c r="CZ21" s="4"/>
      <c r="DA21" s="4"/>
      <c r="DB21" s="4">
        <v>-864</v>
      </c>
      <c r="DC21" s="4"/>
    </row>
    <row r="22" spans="1:109" x14ac:dyDescent="0.2">
      <c r="A22" s="5" t="s">
        <v>357</v>
      </c>
      <c r="B22" s="5"/>
      <c r="C22" s="5"/>
      <c r="D22" s="13">
        <v>0</v>
      </c>
      <c r="E22" s="233">
        <v>0</v>
      </c>
      <c r="F22" s="236">
        <v>0</v>
      </c>
      <c r="G22" s="236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/>
      <c r="Q22" s="4"/>
      <c r="R22" s="4">
        <v>0</v>
      </c>
      <c r="S22" s="4">
        <v>0</v>
      </c>
      <c r="T22" s="4">
        <v>0</v>
      </c>
      <c r="U22" s="4"/>
      <c r="V22" s="4"/>
      <c r="W22" s="4"/>
      <c r="X22" s="4"/>
      <c r="Y22" s="4">
        <v>0</v>
      </c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>
        <v>0</v>
      </c>
      <c r="AU22" s="4"/>
      <c r="AV22" s="4"/>
      <c r="AW22" s="4">
        <v>0</v>
      </c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42"/>
      <c r="BX22" s="4">
        <v>0</v>
      </c>
      <c r="BY22" s="4"/>
      <c r="BZ22" s="4"/>
      <c r="CA22" s="4"/>
      <c r="CB22" s="4">
        <v>0</v>
      </c>
      <c r="CC22" s="4"/>
      <c r="CD22" s="4"/>
      <c r="CE22" s="4"/>
      <c r="CF22" s="4">
        <v>0</v>
      </c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>
        <v>-17300</v>
      </c>
      <c r="CR22" s="4"/>
      <c r="CS22" s="4"/>
      <c r="CT22" s="4"/>
      <c r="CU22" s="4">
        <v>-17300</v>
      </c>
      <c r="CV22" s="4"/>
      <c r="CW22" s="4"/>
      <c r="CX22" s="4"/>
      <c r="CY22" s="4">
        <v>-17300</v>
      </c>
      <c r="CZ22" s="4"/>
      <c r="DA22" s="4"/>
      <c r="DB22" s="4"/>
      <c r="DC22" s="4">
        <v>-17300</v>
      </c>
    </row>
    <row r="23" spans="1:109" x14ac:dyDescent="0.2">
      <c r="A23" s="5" t="s">
        <v>359</v>
      </c>
      <c r="B23" s="5"/>
      <c r="C23" s="5">
        <v>23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>
        <v>0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>
        <v>0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42"/>
      <c r="BX23" s="4"/>
      <c r="BY23" s="4"/>
      <c r="BZ23" s="4"/>
      <c r="CA23" s="4">
        <v>0</v>
      </c>
      <c r="CB23" s="4"/>
      <c r="CC23" s="4"/>
      <c r="CD23" s="4"/>
      <c r="CE23" s="442"/>
      <c r="CF23" s="4"/>
      <c r="CG23" s="4"/>
      <c r="CH23" s="4"/>
      <c r="CI23" s="4"/>
      <c r="CJ23" s="4"/>
      <c r="CK23" s="4"/>
      <c r="CL23" s="4"/>
      <c r="CM23" s="4">
        <v>0</v>
      </c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</row>
    <row r="24" spans="1:109" x14ac:dyDescent="0.2">
      <c r="A24" s="5" t="s">
        <v>361</v>
      </c>
      <c r="B24" s="5"/>
      <c r="C24" s="5">
        <v>15</v>
      </c>
      <c r="D24" s="4"/>
      <c r="E24" s="233"/>
      <c r="F24" s="4"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42"/>
      <c r="BX24" s="4"/>
      <c r="BY24" s="4"/>
      <c r="BZ24" s="442">
        <v>0</v>
      </c>
      <c r="CA24" s="442">
        <v>0</v>
      </c>
      <c r="CB24" s="442">
        <v>0</v>
      </c>
      <c r="CC24" s="442">
        <v>0</v>
      </c>
      <c r="CD24" s="442">
        <v>0</v>
      </c>
      <c r="CE24" s="4"/>
      <c r="CF24" s="442">
        <v>0</v>
      </c>
      <c r="CG24" s="442">
        <v>0</v>
      </c>
      <c r="CH24" s="442">
        <v>0</v>
      </c>
      <c r="CI24" s="442">
        <v>0</v>
      </c>
      <c r="CJ24" s="442"/>
      <c r="CK24" s="4"/>
      <c r="CL24" s="4"/>
      <c r="CM24" s="4"/>
      <c r="CN24" s="4"/>
      <c r="CO24" s="4"/>
      <c r="CP24" s="442"/>
      <c r="CQ24" s="442"/>
      <c r="CR24" s="442"/>
      <c r="CS24" s="442"/>
      <c r="CT24" s="442"/>
      <c r="CU24" s="442"/>
      <c r="CV24" s="4"/>
      <c r="CW24" s="4"/>
      <c r="CX24" s="442"/>
      <c r="CY24" s="442"/>
      <c r="CZ24" s="4"/>
      <c r="DA24" s="4"/>
      <c r="DB24" s="4"/>
      <c r="DC24" s="4"/>
    </row>
    <row r="25" spans="1:109" x14ac:dyDescent="0.2">
      <c r="A25" s="5" t="s">
        <v>363</v>
      </c>
      <c r="B25" s="5"/>
      <c r="C25" s="5">
        <v>25</v>
      </c>
      <c r="D25" s="13">
        <v>0</v>
      </c>
      <c r="E25" s="233">
        <v>0</v>
      </c>
      <c r="F25" s="236">
        <v>0</v>
      </c>
      <c r="G25" s="236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/>
      <c r="AY25" s="4">
        <v>0</v>
      </c>
      <c r="AZ25" s="4">
        <v>0</v>
      </c>
      <c r="BA25" s="4">
        <v>0</v>
      </c>
      <c r="BB25" s="4"/>
      <c r="BC25" s="4"/>
      <c r="BD25" s="4"/>
      <c r="BE25" s="4"/>
      <c r="BF25" s="4"/>
      <c r="BG25" s="4"/>
      <c r="BH25" s="4"/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42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-5000</v>
      </c>
      <c r="CR25" s="4">
        <v>-5000</v>
      </c>
      <c r="CS25" s="4">
        <v>-5000</v>
      </c>
      <c r="CT25" s="4">
        <v>-5000</v>
      </c>
      <c r="CU25" s="4">
        <v>-5000</v>
      </c>
      <c r="CV25" s="4">
        <v>-5000</v>
      </c>
      <c r="CW25" s="4">
        <v>-5000</v>
      </c>
      <c r="CX25" s="4">
        <v>-5000</v>
      </c>
      <c r="CY25" s="4">
        <v>-5000</v>
      </c>
      <c r="CZ25" s="4">
        <v>-5000</v>
      </c>
      <c r="DA25" s="4">
        <v>-5000</v>
      </c>
      <c r="DB25" s="4">
        <v>-5000</v>
      </c>
      <c r="DC25" s="4">
        <v>-5000</v>
      </c>
    </row>
    <row r="26" spans="1:109" x14ac:dyDescent="0.2">
      <c r="A26" s="5" t="s">
        <v>365</v>
      </c>
      <c r="B26" s="5"/>
      <c r="C26" s="5"/>
      <c r="D26" s="4"/>
      <c r="E26" s="4"/>
      <c r="F26" s="4"/>
      <c r="G26" s="4"/>
      <c r="H26" s="4"/>
      <c r="I26" s="4"/>
      <c r="J26" s="4"/>
      <c r="K26" s="4"/>
      <c r="L26" s="4">
        <v>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>
        <v>0</v>
      </c>
      <c r="AW26" s="4">
        <v>0</v>
      </c>
      <c r="AX26" s="4"/>
      <c r="AY26" s="4">
        <v>0</v>
      </c>
      <c r="AZ26" s="4">
        <v>0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42"/>
      <c r="BX26" s="4"/>
      <c r="BY26" s="4"/>
      <c r="BZ26" s="4"/>
      <c r="CA26" s="4"/>
      <c r="CB26" s="4"/>
      <c r="CC26" s="4"/>
      <c r="CD26" s="4"/>
      <c r="CE26" s="4"/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</row>
    <row r="27" spans="1:109" x14ac:dyDescent="0.2">
      <c r="A27" s="8" t="s">
        <v>366</v>
      </c>
      <c r="B27" s="8"/>
      <c r="C27" s="239">
        <v>10</v>
      </c>
      <c r="D27" s="13">
        <v>0</v>
      </c>
      <c r="E27" s="233">
        <v>0</v>
      </c>
      <c r="F27" s="236">
        <v>0</v>
      </c>
      <c r="G27" s="236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/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42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</row>
    <row r="28" spans="1:109" x14ac:dyDescent="0.2">
      <c r="A28" s="5" t="s">
        <v>368</v>
      </c>
      <c r="B28" s="5"/>
      <c r="C28" s="5"/>
      <c r="D28" s="13"/>
      <c r="E28" s="233"/>
      <c r="F28" s="236"/>
      <c r="G28" s="236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42">
        <v>0</v>
      </c>
      <c r="BX28" s="4"/>
      <c r="BY28" s="4"/>
      <c r="BZ28" s="4"/>
      <c r="CA28" s="4"/>
      <c r="CB28" s="4">
        <v>0</v>
      </c>
      <c r="CC28" s="4"/>
      <c r="CD28" s="4"/>
      <c r="CE28" s="4"/>
      <c r="CF28" s="4">
        <v>0</v>
      </c>
      <c r="CG28" s="4"/>
      <c r="CH28" s="4"/>
      <c r="CI28" s="4"/>
      <c r="CJ28" s="4"/>
      <c r="CK28" s="4">
        <v>0</v>
      </c>
      <c r="CL28" s="4"/>
      <c r="CM28" s="4"/>
      <c r="CN28" s="4"/>
      <c r="CO28" s="4"/>
      <c r="CP28" s="4"/>
      <c r="CQ28" s="4">
        <v>-17300</v>
      </c>
      <c r="CR28" s="4"/>
      <c r="CS28" s="4"/>
      <c r="CT28" s="4"/>
      <c r="CU28" s="4">
        <v>-17300</v>
      </c>
      <c r="CV28" s="4"/>
      <c r="CW28" s="4"/>
      <c r="CX28" s="4"/>
      <c r="CY28" s="4">
        <v>-17300</v>
      </c>
      <c r="CZ28" s="4"/>
      <c r="DA28" s="4"/>
      <c r="DB28" s="4"/>
      <c r="DC28" s="4">
        <v>-17300</v>
      </c>
    </row>
    <row r="29" spans="1:109" x14ac:dyDescent="0.2">
      <c r="A29" s="5" t="s">
        <v>369</v>
      </c>
      <c r="B29" s="5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>
        <v>0</v>
      </c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42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>
        <v>0</v>
      </c>
      <c r="CJ29" s="4">
        <v>0</v>
      </c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>
        <v>-90997</v>
      </c>
      <c r="CV29" s="4"/>
      <c r="CW29" s="4"/>
      <c r="CX29" s="4"/>
      <c r="CY29" s="4"/>
      <c r="CZ29" s="4"/>
      <c r="DA29" s="4"/>
      <c r="DB29" s="4"/>
      <c r="DC29" s="4"/>
    </row>
    <row r="30" spans="1:109" x14ac:dyDescent="0.2">
      <c r="A30" s="232" t="s">
        <v>371</v>
      </c>
      <c r="B30" s="232"/>
      <c r="C30" s="232">
        <v>19</v>
      </c>
      <c r="D30" s="4"/>
      <c r="E30" s="23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v>0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>
        <v>0</v>
      </c>
      <c r="AZ30" s="4">
        <v>0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42"/>
      <c r="BX30" s="4"/>
      <c r="BY30" s="4"/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-8827</v>
      </c>
      <c r="CQ30" s="4">
        <v>-8827</v>
      </c>
      <c r="CR30" s="4">
        <v>-8827</v>
      </c>
      <c r="CS30" s="4">
        <v>-8827</v>
      </c>
      <c r="CT30" s="4">
        <v>-8827</v>
      </c>
      <c r="CU30" s="4">
        <v>-8827</v>
      </c>
      <c r="CV30" s="4">
        <v>-8827</v>
      </c>
      <c r="CW30" s="4">
        <v>-8827</v>
      </c>
      <c r="CX30" s="4">
        <v>-8827</v>
      </c>
      <c r="CY30" s="4">
        <v>-8827</v>
      </c>
      <c r="CZ30" s="4">
        <v>-8827</v>
      </c>
      <c r="DA30" s="4">
        <v>-8827</v>
      </c>
      <c r="DB30" s="4">
        <v>-8827</v>
      </c>
      <c r="DC30" s="4">
        <v>-8827</v>
      </c>
    </row>
    <row r="31" spans="1:109" x14ac:dyDescent="0.2">
      <c r="A31" s="5" t="s">
        <v>372</v>
      </c>
      <c r="B31" s="5"/>
      <c r="C31" s="5"/>
      <c r="D31" s="4"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v>0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42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</row>
    <row r="32" spans="1:109" x14ac:dyDescent="0.2">
      <c r="A32" s="5" t="s">
        <v>373</v>
      </c>
      <c r="B32" s="5"/>
      <c r="C32" s="5"/>
      <c r="D32" s="4">
        <v>0</v>
      </c>
      <c r="E32" s="233">
        <v>0</v>
      </c>
      <c r="F32" s="236">
        <v>0</v>
      </c>
      <c r="G32" s="236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/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/>
      <c r="AK32" s="4"/>
      <c r="AL32" s="4">
        <v>0</v>
      </c>
      <c r="AM32" s="4">
        <v>0</v>
      </c>
      <c r="AN32" s="4">
        <v>0</v>
      </c>
      <c r="AO32" s="234">
        <v>0</v>
      </c>
      <c r="AP32" s="234">
        <v>0</v>
      </c>
      <c r="AQ32" s="234">
        <v>0</v>
      </c>
      <c r="AR32" s="234">
        <v>0</v>
      </c>
      <c r="AS32" s="234">
        <v>0</v>
      </c>
      <c r="AT32" s="234">
        <v>0</v>
      </c>
      <c r="AU32" s="234" t="s">
        <v>340</v>
      </c>
      <c r="AV32" s="234"/>
      <c r="AW32" s="234"/>
      <c r="AX32" s="234"/>
      <c r="AY32" s="234"/>
      <c r="AZ32" s="234"/>
      <c r="BA32" s="234"/>
      <c r="BB32" s="234"/>
      <c r="BC32" s="234"/>
      <c r="BD32" s="234"/>
      <c r="BE32" s="234"/>
      <c r="BF32" s="234"/>
      <c r="BG32" s="234"/>
      <c r="BH32" s="234"/>
      <c r="BI32" s="234"/>
      <c r="BJ32" s="234"/>
      <c r="BK32" s="234"/>
      <c r="BL32" s="234"/>
      <c r="BM32" s="234"/>
      <c r="BN32" s="234">
        <v>0</v>
      </c>
      <c r="BO32" s="234">
        <v>0</v>
      </c>
      <c r="BP32" s="234">
        <v>0</v>
      </c>
      <c r="BQ32" s="234">
        <v>0</v>
      </c>
      <c r="BR32" s="234">
        <v>0</v>
      </c>
      <c r="BS32" s="234">
        <v>0</v>
      </c>
      <c r="BT32" s="234">
        <v>0</v>
      </c>
      <c r="BU32" s="234"/>
      <c r="BV32" s="234"/>
      <c r="BW32" s="443"/>
      <c r="BX32" s="234"/>
      <c r="BY32" s="234"/>
      <c r="BZ32" s="234"/>
      <c r="CA32" s="234"/>
      <c r="CB32" s="234"/>
      <c r="CC32" s="234"/>
      <c r="CD32" s="234"/>
      <c r="CE32" s="234"/>
      <c r="CF32" s="234"/>
      <c r="CG32" s="234"/>
      <c r="CH32" s="234"/>
      <c r="CI32" s="234"/>
      <c r="CJ32" s="234"/>
      <c r="CK32" s="234">
        <v>0</v>
      </c>
      <c r="CL32" s="234"/>
      <c r="CM32" s="234"/>
      <c r="CN32" s="234"/>
      <c r="CO32" s="234"/>
      <c r="CP32" s="234"/>
      <c r="CQ32" s="234"/>
      <c r="CR32" s="234"/>
      <c r="CS32" s="234"/>
      <c r="CT32" s="234"/>
      <c r="CU32" s="234"/>
      <c r="CV32" s="234">
        <v>-19000</v>
      </c>
      <c r="CW32" s="234"/>
      <c r="CX32" s="234"/>
      <c r="CY32" s="234"/>
      <c r="CZ32" s="234"/>
      <c r="DA32" s="234"/>
      <c r="DB32" s="234"/>
      <c r="DC32" s="234"/>
    </row>
    <row r="33" spans="1:107" x14ac:dyDescent="0.2">
      <c r="A33" s="487" t="s">
        <v>374</v>
      </c>
      <c r="B33" s="487"/>
      <c r="C33" s="487">
        <v>1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>
        <v>0</v>
      </c>
      <c r="AW33" s="4">
        <v>0</v>
      </c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/>
      <c r="BV33" s="4"/>
      <c r="BW33" s="442"/>
      <c r="BX33" s="4"/>
      <c r="BY33" s="4"/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</row>
    <row r="34" spans="1:107" x14ac:dyDescent="0.2">
      <c r="A34" s="487" t="s">
        <v>375</v>
      </c>
      <c r="B34" s="488"/>
      <c r="C34" s="489">
        <v>1</v>
      </c>
      <c r="D34" s="13"/>
      <c r="E34" s="233"/>
      <c r="F34" s="236"/>
      <c r="G34" s="236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/>
      <c r="AG34" s="4"/>
      <c r="AH34" s="4"/>
      <c r="AI34" s="4"/>
      <c r="AJ34" s="4"/>
      <c r="AK34" s="4"/>
      <c r="AL34" s="4"/>
      <c r="AM34" s="4"/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/>
      <c r="AT34" s="4">
        <v>0</v>
      </c>
      <c r="AU34" s="4">
        <v>0</v>
      </c>
      <c r="AV34" s="4">
        <v>0</v>
      </c>
      <c r="AW34" s="4">
        <v>0</v>
      </c>
      <c r="AX34" s="4">
        <v>-1</v>
      </c>
      <c r="AY34" s="4">
        <v>-1</v>
      </c>
      <c r="AZ34" s="4">
        <v>-1</v>
      </c>
      <c r="BA34" s="4">
        <v>-1</v>
      </c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42"/>
      <c r="BX34" s="4"/>
      <c r="BY34" s="4"/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</row>
    <row r="35" spans="1:107" x14ac:dyDescent="0.2">
      <c r="A35" s="487" t="s">
        <v>376</v>
      </c>
      <c r="B35" s="487"/>
      <c r="C35" s="487">
        <v>1</v>
      </c>
      <c r="D35" s="13">
        <v>0</v>
      </c>
      <c r="E35" s="233">
        <v>0</v>
      </c>
      <c r="F35" s="234">
        <v>0</v>
      </c>
      <c r="G35" s="234">
        <v>0</v>
      </c>
      <c r="H35" s="234">
        <v>0</v>
      </c>
      <c r="I35" s="234">
        <v>0</v>
      </c>
      <c r="J35" s="234">
        <v>0</v>
      </c>
      <c r="K35" s="234">
        <v>0</v>
      </c>
      <c r="L35" s="234">
        <v>0</v>
      </c>
      <c r="M35" s="234">
        <v>0</v>
      </c>
      <c r="N35" s="234">
        <v>0</v>
      </c>
      <c r="O35" s="234">
        <v>0</v>
      </c>
      <c r="P35" s="234">
        <v>0</v>
      </c>
      <c r="Q35" s="234">
        <v>0</v>
      </c>
      <c r="R35" s="234">
        <v>0</v>
      </c>
      <c r="S35" s="234">
        <v>0</v>
      </c>
      <c r="T35" s="234">
        <v>0</v>
      </c>
      <c r="U35" s="234">
        <v>0</v>
      </c>
      <c r="V35" s="234">
        <v>0</v>
      </c>
      <c r="W35" s="234">
        <v>0</v>
      </c>
      <c r="X35" s="234">
        <v>0</v>
      </c>
      <c r="Y35" s="234">
        <v>0</v>
      </c>
      <c r="Z35" s="234">
        <v>0</v>
      </c>
      <c r="AA35" s="234">
        <v>0</v>
      </c>
      <c r="AB35" s="234">
        <v>0</v>
      </c>
      <c r="AC35" s="234">
        <v>0</v>
      </c>
      <c r="AD35" s="234">
        <v>0</v>
      </c>
      <c r="AE35" s="234">
        <v>0</v>
      </c>
      <c r="AF35" s="234">
        <v>0</v>
      </c>
      <c r="AG35" s="234">
        <v>0</v>
      </c>
      <c r="AH35" s="234">
        <v>0</v>
      </c>
      <c r="AI35" s="234">
        <v>0</v>
      </c>
      <c r="AJ35" s="234">
        <v>0</v>
      </c>
      <c r="AK35" s="234">
        <v>0</v>
      </c>
      <c r="AL35" s="234">
        <v>0</v>
      </c>
      <c r="AM35" s="234"/>
      <c r="AN35" s="234">
        <v>0</v>
      </c>
      <c r="AO35" s="234">
        <v>0</v>
      </c>
      <c r="AP35" s="234">
        <v>0</v>
      </c>
      <c r="AQ35" s="234">
        <v>0</v>
      </c>
      <c r="AR35" s="234">
        <v>0</v>
      </c>
      <c r="AS35" s="234">
        <v>0</v>
      </c>
      <c r="AT35" s="234">
        <v>0</v>
      </c>
      <c r="AU35" s="234">
        <v>0</v>
      </c>
      <c r="AV35" s="234">
        <v>0</v>
      </c>
      <c r="AW35" s="234">
        <v>0</v>
      </c>
      <c r="AX35" s="234">
        <v>0</v>
      </c>
      <c r="AY35" s="234">
        <v>0</v>
      </c>
      <c r="AZ35" s="234">
        <v>0</v>
      </c>
      <c r="BA35" s="234"/>
      <c r="BB35" s="234"/>
      <c r="BC35" s="234"/>
      <c r="BD35" s="234"/>
      <c r="BE35" s="234"/>
      <c r="BF35" s="234"/>
      <c r="BG35" s="234">
        <v>0</v>
      </c>
      <c r="BH35" s="234">
        <v>0</v>
      </c>
      <c r="BI35" s="234">
        <v>0</v>
      </c>
      <c r="BJ35" s="234">
        <v>0</v>
      </c>
      <c r="BK35" s="234">
        <v>0</v>
      </c>
      <c r="BL35" s="234">
        <v>0</v>
      </c>
      <c r="BM35" s="234">
        <v>0</v>
      </c>
      <c r="BN35" s="234">
        <v>0</v>
      </c>
      <c r="BO35" s="234">
        <v>0</v>
      </c>
      <c r="BP35" s="234">
        <v>0</v>
      </c>
      <c r="BQ35" s="234"/>
      <c r="BR35" s="234">
        <v>0</v>
      </c>
      <c r="BS35" s="234">
        <v>-75437</v>
      </c>
      <c r="BT35" s="234">
        <v>-75437</v>
      </c>
      <c r="BU35" s="234"/>
      <c r="BV35" s="234"/>
      <c r="BW35" s="443"/>
      <c r="BX35" s="234"/>
      <c r="BY35" s="234"/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</row>
    <row r="36" spans="1:107" x14ac:dyDescent="0.2">
      <c r="A36" s="487" t="s">
        <v>377</v>
      </c>
      <c r="B36" s="487"/>
      <c r="C36" s="487">
        <v>1</v>
      </c>
      <c r="D36" s="13"/>
      <c r="E36" s="233"/>
      <c r="F36" s="234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4"/>
      <c r="AH36" s="234"/>
      <c r="AI36" s="234"/>
      <c r="AJ36" s="234"/>
      <c r="AK36" s="234"/>
      <c r="AL36" s="234"/>
      <c r="AM36" s="234"/>
      <c r="AN36" s="234"/>
      <c r="AO36" s="234"/>
      <c r="AP36" s="234"/>
      <c r="AQ36" s="234"/>
      <c r="AR36" s="234"/>
      <c r="AS36" s="234"/>
      <c r="AT36" s="234"/>
      <c r="AU36" s="234"/>
      <c r="AV36" s="234"/>
      <c r="AW36" s="234"/>
      <c r="AX36" s="234"/>
      <c r="AY36" s="234"/>
      <c r="AZ36" s="234"/>
      <c r="BA36" s="234"/>
      <c r="BB36" s="234"/>
      <c r="BC36" s="234"/>
      <c r="BD36" s="234"/>
      <c r="BE36" s="234"/>
      <c r="BF36" s="234"/>
      <c r="BG36" s="234"/>
      <c r="BH36" s="234"/>
      <c r="BI36" s="234"/>
      <c r="BJ36" s="234"/>
      <c r="BK36" s="234"/>
      <c r="BL36" s="234"/>
      <c r="BM36" s="234"/>
      <c r="BN36" s="4"/>
      <c r="BO36" s="4"/>
      <c r="BP36" s="4"/>
      <c r="BQ36" s="4"/>
      <c r="BR36" s="4"/>
      <c r="BS36" s="4"/>
      <c r="BT36" s="4"/>
      <c r="BU36" s="4"/>
      <c r="BV36" s="4"/>
      <c r="BW36" s="442"/>
      <c r="BX36" s="4"/>
      <c r="BY36" s="4"/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</row>
    <row r="37" spans="1:107" x14ac:dyDescent="0.2">
      <c r="A37" s="487"/>
      <c r="B37" s="487"/>
      <c r="C37" s="487"/>
      <c r="D37" s="13"/>
      <c r="E37" s="233"/>
      <c r="F37" s="236"/>
      <c r="G37" s="236"/>
      <c r="H37" s="23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42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</row>
    <row r="38" spans="1:107" x14ac:dyDescent="0.2">
      <c r="A38" s="439"/>
      <c r="B38" s="235"/>
      <c r="C38" s="235"/>
      <c r="D38" s="13"/>
      <c r="E38" s="233"/>
      <c r="F38" s="236"/>
      <c r="G38" s="236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</row>
    <row r="39" spans="1:107" x14ac:dyDescent="0.2">
      <c r="A39" s="8" t="s">
        <v>18</v>
      </c>
      <c r="B39" s="8"/>
      <c r="C39" s="5"/>
      <c r="D39" s="4">
        <f t="shared" ref="D39:AI39" si="0">SUM(D2:D38)</f>
        <v>0</v>
      </c>
      <c r="E39" s="4">
        <f t="shared" si="0"/>
        <v>0</v>
      </c>
      <c r="F39" s="4">
        <f t="shared" si="0"/>
        <v>0</v>
      </c>
      <c r="G39" s="4">
        <f t="shared" si="0"/>
        <v>0</v>
      </c>
      <c r="H39" s="4">
        <f t="shared" si="0"/>
        <v>0</v>
      </c>
      <c r="I39" s="4">
        <f t="shared" si="0"/>
        <v>0</v>
      </c>
      <c r="J39" s="4">
        <f t="shared" si="0"/>
        <v>0</v>
      </c>
      <c r="K39" s="4">
        <f t="shared" si="0"/>
        <v>0</v>
      </c>
      <c r="L39" s="4">
        <f t="shared" si="0"/>
        <v>0</v>
      </c>
      <c r="M39" s="4">
        <f t="shared" si="0"/>
        <v>0</v>
      </c>
      <c r="N39" s="4">
        <f t="shared" si="0"/>
        <v>0</v>
      </c>
      <c r="O39" s="4">
        <f t="shared" si="0"/>
        <v>0</v>
      </c>
      <c r="P39" s="4">
        <f t="shared" si="0"/>
        <v>0</v>
      </c>
      <c r="Q39" s="4">
        <f t="shared" si="0"/>
        <v>0</v>
      </c>
      <c r="R39" s="4">
        <f t="shared" si="0"/>
        <v>0</v>
      </c>
      <c r="S39" s="4">
        <f t="shared" si="0"/>
        <v>0</v>
      </c>
      <c r="T39" s="4">
        <f t="shared" si="0"/>
        <v>0</v>
      </c>
      <c r="U39" s="4">
        <f t="shared" si="0"/>
        <v>0</v>
      </c>
      <c r="V39" s="4">
        <f t="shared" si="0"/>
        <v>0</v>
      </c>
      <c r="W39" s="4">
        <f t="shared" si="0"/>
        <v>0</v>
      </c>
      <c r="X39" s="4">
        <f t="shared" si="0"/>
        <v>0</v>
      </c>
      <c r="Y39" s="4">
        <f t="shared" si="0"/>
        <v>0</v>
      </c>
      <c r="Z39" s="4">
        <f t="shared" si="0"/>
        <v>0</v>
      </c>
      <c r="AA39" s="4">
        <f t="shared" si="0"/>
        <v>0</v>
      </c>
      <c r="AB39" s="4">
        <f t="shared" si="0"/>
        <v>0</v>
      </c>
      <c r="AC39" s="4">
        <f t="shared" si="0"/>
        <v>0</v>
      </c>
      <c r="AD39" s="4">
        <f t="shared" si="0"/>
        <v>0</v>
      </c>
      <c r="AE39" s="4">
        <f t="shared" si="0"/>
        <v>0</v>
      </c>
      <c r="AF39" s="4">
        <f t="shared" si="0"/>
        <v>0</v>
      </c>
      <c r="AG39" s="4">
        <f t="shared" si="0"/>
        <v>0</v>
      </c>
      <c r="AH39" s="4">
        <f t="shared" si="0"/>
        <v>0</v>
      </c>
      <c r="AI39" s="4">
        <f t="shared" si="0"/>
        <v>0</v>
      </c>
      <c r="AJ39" s="4">
        <f t="shared" ref="AJ39:BO39" si="1">SUM(AJ2:AJ38)</f>
        <v>0</v>
      </c>
      <c r="AK39" s="4">
        <f t="shared" si="1"/>
        <v>0</v>
      </c>
      <c r="AL39" s="4">
        <f t="shared" si="1"/>
        <v>0</v>
      </c>
      <c r="AM39" s="4">
        <f t="shared" si="1"/>
        <v>0</v>
      </c>
      <c r="AN39" s="4">
        <f t="shared" si="1"/>
        <v>0</v>
      </c>
      <c r="AO39" s="4">
        <f t="shared" si="1"/>
        <v>0</v>
      </c>
      <c r="AP39" s="4">
        <f t="shared" si="1"/>
        <v>0</v>
      </c>
      <c r="AQ39" s="4">
        <f t="shared" si="1"/>
        <v>0</v>
      </c>
      <c r="AR39" s="4">
        <f t="shared" si="1"/>
        <v>0</v>
      </c>
      <c r="AS39" s="4">
        <f t="shared" si="1"/>
        <v>0</v>
      </c>
      <c r="AT39" s="4">
        <f t="shared" si="1"/>
        <v>0</v>
      </c>
      <c r="AU39" s="4">
        <f t="shared" si="1"/>
        <v>0</v>
      </c>
      <c r="AV39" s="4">
        <f t="shared" si="1"/>
        <v>0</v>
      </c>
      <c r="AW39" s="4">
        <f t="shared" si="1"/>
        <v>0</v>
      </c>
      <c r="AX39" s="4">
        <f t="shared" si="1"/>
        <v>-1</v>
      </c>
      <c r="AY39" s="4" t="e">
        <f t="shared" si="1"/>
        <v>#REF!</v>
      </c>
      <c r="AZ39" s="4">
        <f t="shared" si="1"/>
        <v>-1</v>
      </c>
      <c r="BA39" s="4">
        <f t="shared" si="1"/>
        <v>-1</v>
      </c>
      <c r="BB39" s="4">
        <f t="shared" si="1"/>
        <v>0</v>
      </c>
      <c r="BC39" s="4">
        <f t="shared" si="1"/>
        <v>0</v>
      </c>
      <c r="BD39" s="4">
        <f t="shared" si="1"/>
        <v>0</v>
      </c>
      <c r="BE39" s="4">
        <f t="shared" si="1"/>
        <v>0</v>
      </c>
      <c r="BF39" s="4">
        <f t="shared" si="1"/>
        <v>0</v>
      </c>
      <c r="BG39" s="4">
        <f t="shared" si="1"/>
        <v>0</v>
      </c>
      <c r="BH39" s="4">
        <f t="shared" si="1"/>
        <v>0</v>
      </c>
      <c r="BI39" s="4">
        <f t="shared" si="1"/>
        <v>0</v>
      </c>
      <c r="BJ39" s="4">
        <f t="shared" si="1"/>
        <v>0</v>
      </c>
      <c r="BK39" s="4">
        <f t="shared" si="1"/>
        <v>0</v>
      </c>
      <c r="BL39" s="4">
        <f t="shared" si="1"/>
        <v>0</v>
      </c>
      <c r="BM39" s="4">
        <f t="shared" si="1"/>
        <v>0</v>
      </c>
      <c r="BN39" s="4" t="e">
        <f t="shared" si="1"/>
        <v>#REF!</v>
      </c>
      <c r="BO39" s="4" t="e">
        <f t="shared" si="1"/>
        <v>#REF!</v>
      </c>
      <c r="BP39" s="4" t="e">
        <f t="shared" ref="BP39:CT39" si="2">SUM(BP2:BP38)</f>
        <v>#REF!</v>
      </c>
      <c r="BQ39" s="4" t="e">
        <f t="shared" si="2"/>
        <v>#REF!</v>
      </c>
      <c r="BR39" s="4" t="e">
        <f t="shared" si="2"/>
        <v>#REF!</v>
      </c>
      <c r="BS39" s="4" t="e">
        <f t="shared" si="2"/>
        <v>#REF!</v>
      </c>
      <c r="BT39" s="4" t="e">
        <f t="shared" si="2"/>
        <v>#REF!</v>
      </c>
      <c r="BU39" s="4">
        <f t="shared" si="2"/>
        <v>0</v>
      </c>
      <c r="BV39" s="4">
        <f t="shared" si="2"/>
        <v>0</v>
      </c>
      <c r="BW39" s="442">
        <f t="shared" si="2"/>
        <v>0</v>
      </c>
      <c r="BX39" s="4" t="e">
        <f t="shared" si="2"/>
        <v>#REF!</v>
      </c>
      <c r="BY39" s="4" t="e">
        <f t="shared" si="2"/>
        <v>#REF!</v>
      </c>
      <c r="BZ39" s="4">
        <f t="shared" si="2"/>
        <v>0</v>
      </c>
      <c r="CA39" s="4">
        <f t="shared" si="2"/>
        <v>0</v>
      </c>
      <c r="CB39" s="4">
        <f t="shared" si="2"/>
        <v>0</v>
      </c>
      <c r="CC39" s="4">
        <f t="shared" si="2"/>
        <v>0</v>
      </c>
      <c r="CD39" s="4">
        <f t="shared" si="2"/>
        <v>0</v>
      </c>
      <c r="CE39" s="4">
        <f t="shared" si="2"/>
        <v>0</v>
      </c>
      <c r="CF39" s="4">
        <f t="shared" si="2"/>
        <v>0</v>
      </c>
      <c r="CG39" s="4">
        <f t="shared" si="2"/>
        <v>0</v>
      </c>
      <c r="CH39" s="4">
        <f t="shared" si="2"/>
        <v>0</v>
      </c>
      <c r="CI39" s="4">
        <f t="shared" si="2"/>
        <v>0</v>
      </c>
      <c r="CJ39" s="4">
        <f t="shared" si="2"/>
        <v>0</v>
      </c>
      <c r="CK39" s="4">
        <f t="shared" si="2"/>
        <v>0</v>
      </c>
      <c r="CL39" s="4">
        <f t="shared" si="2"/>
        <v>0</v>
      </c>
      <c r="CM39" s="4">
        <f t="shared" si="2"/>
        <v>0</v>
      </c>
      <c r="CN39" s="4">
        <f t="shared" si="2"/>
        <v>0</v>
      </c>
      <c r="CO39" s="4">
        <f t="shared" si="2"/>
        <v>0</v>
      </c>
      <c r="CP39" s="4">
        <f t="shared" si="2"/>
        <v>-8827</v>
      </c>
      <c r="CQ39" s="4">
        <f t="shared" si="2"/>
        <v>-208952.71</v>
      </c>
      <c r="CR39" s="4">
        <f t="shared" si="2"/>
        <v>-207352.71</v>
      </c>
      <c r="CS39" s="4">
        <f t="shared" si="2"/>
        <v>-187216.71</v>
      </c>
      <c r="CT39" s="4">
        <f t="shared" si="2"/>
        <v>-187352.71</v>
      </c>
      <c r="CU39" s="4">
        <f t="shared" ref="CU39:CV39" si="3">SUM(CU2:CU38)</f>
        <v>-332949.70999999996</v>
      </c>
      <c r="CV39" s="4">
        <f t="shared" si="3"/>
        <v>-212426.71</v>
      </c>
      <c r="CW39" s="4">
        <f>SUM(CW2:CW38)</f>
        <v>-186352.71</v>
      </c>
      <c r="CX39" s="4">
        <f t="shared" ref="CX39:DA39" si="4">SUM(CX2:CX38)</f>
        <v>-186352.71</v>
      </c>
      <c r="CY39" s="4">
        <f t="shared" si="4"/>
        <v>-221816.71</v>
      </c>
      <c r="CZ39" s="4">
        <f t="shared" si="4"/>
        <v>-186352.71</v>
      </c>
      <c r="DA39" s="4">
        <f t="shared" si="4"/>
        <v>-186352.71</v>
      </c>
      <c r="DB39" s="4">
        <f t="shared" ref="DB39:DC39" si="5">SUM(DB2:DB38)</f>
        <v>-197364.71</v>
      </c>
      <c r="DC39" s="4">
        <f t="shared" si="5"/>
        <v>-220952.71</v>
      </c>
    </row>
    <row r="40" spans="1:107" x14ac:dyDescent="0.2">
      <c r="A40" s="242" t="s">
        <v>378</v>
      </c>
      <c r="B40" s="242"/>
      <c r="C40" s="241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  <c r="AH40" s="241"/>
      <c r="AI40" s="241"/>
      <c r="AJ40" s="241"/>
      <c r="AK40" s="241"/>
      <c r="AL40" s="241"/>
      <c r="AM40" s="241"/>
      <c r="AN40" s="241"/>
      <c r="AO40" s="241"/>
      <c r="AP40" s="241"/>
      <c r="AQ40" s="241"/>
      <c r="AR40" s="241"/>
      <c r="AS40" s="241"/>
      <c r="AT40" s="241"/>
      <c r="AU40" s="241"/>
      <c r="AV40" s="241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1"/>
      <c r="BH40" s="241"/>
      <c r="BI40" s="241"/>
      <c r="BJ40" s="241"/>
      <c r="BK40" s="241"/>
      <c r="BL40" s="241"/>
      <c r="BM40" s="241"/>
      <c r="BN40" s="241"/>
      <c r="BO40" s="241"/>
      <c r="BP40" s="241"/>
      <c r="BQ40" s="241"/>
      <c r="BR40" s="241"/>
      <c r="BS40" s="241"/>
      <c r="BT40" s="241"/>
      <c r="BU40" s="241"/>
      <c r="BV40" s="241"/>
      <c r="BW40" s="241"/>
      <c r="BX40" s="560"/>
      <c r="BY40" s="560"/>
      <c r="BZ40" s="560"/>
      <c r="CA40" s="560"/>
      <c r="CB40" s="560"/>
      <c r="CC40" s="560"/>
      <c r="CD40" s="560"/>
      <c r="CE40" s="560"/>
      <c r="CF40" s="560"/>
      <c r="CG40" s="560"/>
      <c r="CH40" s="241"/>
      <c r="CI40" s="241"/>
      <c r="CJ40" s="241"/>
      <c r="CK40" s="241"/>
      <c r="CL40" s="560"/>
      <c r="CM40" s="560"/>
      <c r="CN40" s="560"/>
      <c r="CO40" s="560"/>
      <c r="CP40" s="560"/>
      <c r="CQ40" s="560"/>
      <c r="CR40" s="560"/>
      <c r="CS40" s="241"/>
      <c r="CT40" s="241"/>
      <c r="CU40" s="241"/>
      <c r="CV40" s="241"/>
      <c r="CW40" s="560"/>
      <c r="CX40" s="241"/>
      <c r="CY40" s="241"/>
      <c r="CZ40" s="560"/>
      <c r="DA40" s="560"/>
      <c r="DB40" s="560"/>
      <c r="DC40" s="560"/>
    </row>
    <row r="41" spans="1:107" x14ac:dyDescent="0.2">
      <c r="A41" s="5" t="s">
        <v>379</v>
      </c>
      <c r="B41" s="5"/>
      <c r="C41" s="5"/>
      <c r="D41" s="5"/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138552</v>
      </c>
      <c r="N41" s="4">
        <v>0</v>
      </c>
      <c r="O41" s="4"/>
      <c r="P41" s="4"/>
      <c r="Q41" s="4">
        <v>0</v>
      </c>
      <c r="R41" s="4">
        <v>0</v>
      </c>
      <c r="S41" s="4">
        <v>0</v>
      </c>
      <c r="T41" s="4">
        <v>0</v>
      </c>
      <c r="U41" s="4"/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145000</v>
      </c>
      <c r="AF41" s="4">
        <v>152000</v>
      </c>
      <c r="AG41" s="4"/>
      <c r="AH41" s="4">
        <v>156117</v>
      </c>
      <c r="AI41" s="4">
        <v>156178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>
        <v>104000</v>
      </c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</row>
    <row r="42" spans="1:107" x14ac:dyDescent="0.2">
      <c r="A42" s="5" t="s">
        <v>380</v>
      </c>
      <c r="B42" s="5"/>
      <c r="C42" s="5"/>
      <c r="D42" s="5"/>
      <c r="E42" s="5"/>
      <c r="F42" s="5">
        <v>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>
        <v>0</v>
      </c>
      <c r="Z42" s="4"/>
      <c r="AA42" s="4">
        <v>0</v>
      </c>
      <c r="AB42" s="4">
        <v>0</v>
      </c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5"/>
      <c r="BA42" s="4"/>
      <c r="BB42" s="4"/>
      <c r="BC42" s="4">
        <v>50000</v>
      </c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>
        <v>374000</v>
      </c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</row>
    <row r="43" spans="1:107" x14ac:dyDescent="0.2">
      <c r="A43" s="5" t="s">
        <v>381</v>
      </c>
      <c r="B43" s="5"/>
      <c r="C43" s="5"/>
      <c r="D43" s="5"/>
      <c r="E43" s="5">
        <v>0</v>
      </c>
      <c r="F43" s="5">
        <v>0</v>
      </c>
      <c r="G43" s="5">
        <v>0</v>
      </c>
      <c r="H43" s="5"/>
      <c r="I43" s="5"/>
      <c r="J43" s="5">
        <v>0</v>
      </c>
      <c r="K43" s="5">
        <v>0</v>
      </c>
      <c r="L43" s="5">
        <v>0</v>
      </c>
      <c r="M43" s="5"/>
      <c r="N43" s="5"/>
      <c r="O43" s="5"/>
      <c r="P43" s="5"/>
      <c r="Q43" s="5"/>
      <c r="R43" s="5"/>
      <c r="S43" s="5"/>
      <c r="T43" s="5">
        <v>0</v>
      </c>
      <c r="U43" s="5"/>
      <c r="V43" s="5"/>
      <c r="W43" s="5">
        <v>0</v>
      </c>
      <c r="X43" s="5">
        <v>0</v>
      </c>
      <c r="Y43" s="5">
        <v>0</v>
      </c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>
        <v>0</v>
      </c>
      <c r="BW43" s="4">
        <v>0</v>
      </c>
      <c r="BX43" s="4">
        <v>0</v>
      </c>
      <c r="BY43" s="4">
        <v>0</v>
      </c>
      <c r="BZ43" s="4"/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  <c r="CI43" s="4">
        <v>0</v>
      </c>
      <c r="CJ43" s="4">
        <v>0</v>
      </c>
      <c r="CK43" s="4">
        <v>0</v>
      </c>
      <c r="CL43" s="4">
        <v>0</v>
      </c>
      <c r="CM43" s="4">
        <v>0</v>
      </c>
      <c r="CN43" s="4">
        <v>0</v>
      </c>
      <c r="CO43" s="4">
        <v>0</v>
      </c>
      <c r="CP43" s="4">
        <v>0</v>
      </c>
      <c r="CQ43" s="4">
        <v>20000</v>
      </c>
      <c r="CR43" s="4">
        <v>20000</v>
      </c>
      <c r="CS43" s="4">
        <v>20000</v>
      </c>
      <c r="CT43" s="4">
        <v>20000</v>
      </c>
      <c r="CU43" s="4">
        <v>20000</v>
      </c>
      <c r="CV43" s="4">
        <v>20000</v>
      </c>
      <c r="CW43" s="4">
        <v>20000</v>
      </c>
      <c r="CX43" s="4">
        <v>20000</v>
      </c>
      <c r="CY43" s="4">
        <v>20000</v>
      </c>
      <c r="CZ43" s="4">
        <v>20000</v>
      </c>
      <c r="DA43" s="4">
        <v>20000</v>
      </c>
      <c r="DB43" s="4">
        <v>20000</v>
      </c>
      <c r="DC43" s="4">
        <v>20000</v>
      </c>
    </row>
    <row r="44" spans="1:107" x14ac:dyDescent="0.2">
      <c r="A44" s="5" t="s">
        <v>382</v>
      </c>
      <c r="B44" s="5"/>
      <c r="C44" s="5"/>
      <c r="D44" s="5"/>
      <c r="E44" s="5">
        <v>0</v>
      </c>
      <c r="F44" s="5">
        <v>0</v>
      </c>
      <c r="G44" s="5">
        <v>0</v>
      </c>
      <c r="H44" s="5"/>
      <c r="I44" s="5"/>
      <c r="J44" s="5">
        <v>0</v>
      </c>
      <c r="K44" s="5">
        <v>0</v>
      </c>
      <c r="L44" s="5">
        <v>0</v>
      </c>
      <c r="M44" s="5"/>
      <c r="N44" s="5"/>
      <c r="O44" s="5"/>
      <c r="P44" s="5"/>
      <c r="Q44" s="5"/>
      <c r="R44" s="5"/>
      <c r="S44" s="5">
        <v>0</v>
      </c>
      <c r="T44" s="5">
        <v>0</v>
      </c>
      <c r="U44" s="5"/>
      <c r="V44" s="5"/>
      <c r="W44" s="5">
        <v>0</v>
      </c>
      <c r="X44" s="5">
        <v>0</v>
      </c>
      <c r="Y44" s="5">
        <v>0</v>
      </c>
      <c r="Z44" s="4"/>
      <c r="AA44" s="4">
        <v>0</v>
      </c>
      <c r="AB44" s="4">
        <v>0</v>
      </c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>
        <v>0</v>
      </c>
      <c r="BW44" s="4">
        <v>0</v>
      </c>
      <c r="BX44" s="4">
        <v>0</v>
      </c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</row>
    <row r="45" spans="1:107" x14ac:dyDescent="0.2">
      <c r="A45" s="5" t="s">
        <v>383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>
        <v>0</v>
      </c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>
        <v>0</v>
      </c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</row>
    <row r="46" spans="1:107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>
        <v>0</v>
      </c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>
        <v>2300</v>
      </c>
      <c r="CU46" s="4"/>
      <c r="CV46" s="4"/>
      <c r="CW46" s="4"/>
      <c r="CX46" s="4"/>
      <c r="CY46" s="4"/>
      <c r="CZ46" s="4"/>
      <c r="DA46" s="4"/>
      <c r="DB46" s="4"/>
      <c r="DC46" s="4"/>
    </row>
    <row r="47" spans="1:107" x14ac:dyDescent="0.2">
      <c r="A47" s="5" t="s">
        <v>384</v>
      </c>
      <c r="B47" s="5"/>
      <c r="C47" s="5"/>
      <c r="D47" s="5"/>
      <c r="E47" s="5"/>
      <c r="F47" s="5">
        <v>0</v>
      </c>
      <c r="G47" s="5">
        <v>0</v>
      </c>
      <c r="H47" s="5"/>
      <c r="I47" s="5"/>
      <c r="J47" s="5">
        <v>0</v>
      </c>
      <c r="K47" s="5"/>
      <c r="L47" s="5">
        <v>0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>
        <v>1999</v>
      </c>
      <c r="CU47" s="4"/>
      <c r="CV47" s="4"/>
      <c r="CW47" s="4"/>
      <c r="CX47" s="4"/>
      <c r="CY47" s="4"/>
      <c r="CZ47" s="4"/>
      <c r="DA47" s="4"/>
      <c r="DB47" s="4"/>
      <c r="DC47" s="4"/>
    </row>
    <row r="48" spans="1:107" x14ac:dyDescent="0.2">
      <c r="A48" s="5" t="s">
        <v>385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v>0</v>
      </c>
      <c r="X48" s="5"/>
      <c r="Y48" s="5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</row>
    <row r="49" spans="1:163" x14ac:dyDescent="0.2">
      <c r="A49" s="5" t="s">
        <v>291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>
        <v>0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v>0</v>
      </c>
      <c r="X49" s="5"/>
      <c r="Y49" s="5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>
        <v>0</v>
      </c>
      <c r="BY49" s="4">
        <v>0</v>
      </c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</row>
    <row r="50" spans="1:163" x14ac:dyDescent="0.2">
      <c r="A50" s="5"/>
      <c r="B50" s="5"/>
      <c r="C50" s="5"/>
      <c r="D50" s="5"/>
      <c r="E50" s="5"/>
      <c r="F50" s="5">
        <v>0</v>
      </c>
      <c r="G50" s="5">
        <v>0</v>
      </c>
      <c r="H50" s="5"/>
      <c r="I50" s="5"/>
      <c r="J50" s="5"/>
      <c r="K50" s="5"/>
      <c r="L50" s="5"/>
      <c r="M50" s="5"/>
      <c r="N50" s="5">
        <v>0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>
        <v>0</v>
      </c>
      <c r="Z50" s="4"/>
      <c r="AA50" s="4"/>
      <c r="AB50" s="4">
        <v>5500</v>
      </c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</row>
    <row r="51" spans="1:163" x14ac:dyDescent="0.2">
      <c r="A51" s="8" t="s">
        <v>386</v>
      </c>
      <c r="B51" s="8"/>
      <c r="C51" s="5"/>
      <c r="D51" s="4">
        <f>SUM(D39:D50)</f>
        <v>0</v>
      </c>
      <c r="E51" s="4">
        <f>SUM(E39:E50)</f>
        <v>0</v>
      </c>
      <c r="F51" s="4">
        <f t="shared" ref="F51:Q51" si="6">SUM(F39:F50)</f>
        <v>0</v>
      </c>
      <c r="G51" s="4">
        <f t="shared" si="6"/>
        <v>0</v>
      </c>
      <c r="H51" s="4">
        <f t="shared" si="6"/>
        <v>0</v>
      </c>
      <c r="I51" s="4">
        <f t="shared" si="6"/>
        <v>0</v>
      </c>
      <c r="J51" s="4">
        <f t="shared" si="6"/>
        <v>0</v>
      </c>
      <c r="K51" s="4">
        <f t="shared" si="6"/>
        <v>0</v>
      </c>
      <c r="L51" s="4">
        <f t="shared" si="6"/>
        <v>0</v>
      </c>
      <c r="M51" s="4">
        <f t="shared" si="6"/>
        <v>138552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ref="R51:X51" si="7">SUM(R39:R50)</f>
        <v>0</v>
      </c>
      <c r="S51" s="4">
        <f t="shared" si="7"/>
        <v>0</v>
      </c>
      <c r="T51" s="4">
        <f t="shared" si="7"/>
        <v>0</v>
      </c>
      <c r="U51" s="4">
        <f t="shared" si="7"/>
        <v>0</v>
      </c>
      <c r="V51" s="4">
        <f t="shared" si="7"/>
        <v>0</v>
      </c>
      <c r="W51" s="4">
        <f t="shared" si="7"/>
        <v>0</v>
      </c>
      <c r="X51" s="4">
        <f t="shared" si="7"/>
        <v>0</v>
      </c>
      <c r="Y51" s="4">
        <f t="shared" ref="Y51:AJ51" si="8">SUM(Y39:Y50)</f>
        <v>0</v>
      </c>
      <c r="Z51" s="4">
        <f t="shared" si="8"/>
        <v>0</v>
      </c>
      <c r="AA51" s="4">
        <f t="shared" si="8"/>
        <v>0</v>
      </c>
      <c r="AB51" s="4">
        <f t="shared" si="8"/>
        <v>5500</v>
      </c>
      <c r="AC51" s="4">
        <f t="shared" si="8"/>
        <v>0</v>
      </c>
      <c r="AD51" s="4">
        <f t="shared" si="8"/>
        <v>0</v>
      </c>
      <c r="AE51" s="4">
        <f t="shared" si="8"/>
        <v>145000</v>
      </c>
      <c r="AF51" s="4">
        <f t="shared" si="8"/>
        <v>152000</v>
      </c>
      <c r="AG51" s="4">
        <f t="shared" si="8"/>
        <v>0</v>
      </c>
      <c r="AH51" s="4">
        <f t="shared" si="8"/>
        <v>156117</v>
      </c>
      <c r="AI51" s="4">
        <f t="shared" si="8"/>
        <v>156178</v>
      </c>
      <c r="AJ51" s="4">
        <f t="shared" si="8"/>
        <v>0</v>
      </c>
      <c r="AK51" s="4">
        <f>SUM(AK39:AK50)</f>
        <v>0</v>
      </c>
      <c r="AL51" s="4">
        <f>SUM(AL39:AL50)</f>
        <v>0</v>
      </c>
      <c r="AM51" s="4">
        <f>SUM(AM39:AM50)</f>
        <v>0</v>
      </c>
      <c r="AN51" s="4">
        <f>SUM(AN39:AN50)</f>
        <v>0</v>
      </c>
      <c r="AO51" s="4">
        <f t="shared" ref="AO51:AV51" si="9">SUM(AO39:AO50)</f>
        <v>0</v>
      </c>
      <c r="AP51" s="4">
        <f t="shared" si="9"/>
        <v>0</v>
      </c>
      <c r="AQ51" s="4">
        <f t="shared" si="9"/>
        <v>0</v>
      </c>
      <c r="AR51" s="4">
        <f t="shared" si="9"/>
        <v>0</v>
      </c>
      <c r="AS51" s="4">
        <f t="shared" si="9"/>
        <v>0</v>
      </c>
      <c r="AT51" s="4">
        <f t="shared" si="9"/>
        <v>0</v>
      </c>
      <c r="AU51" s="4">
        <f t="shared" si="9"/>
        <v>0</v>
      </c>
      <c r="AV51" s="4">
        <f t="shared" si="9"/>
        <v>0</v>
      </c>
      <c r="AW51" s="4">
        <f>SUM(AW39:AW50)</f>
        <v>0</v>
      </c>
      <c r="AX51" s="4">
        <f>SUM(AX39:AX50)</f>
        <v>-1</v>
      </c>
      <c r="AY51" s="4" t="e">
        <f>SUM(AY39:AY50)</f>
        <v>#REF!</v>
      </c>
      <c r="AZ51" s="4">
        <f>SUM(AZ39:AZ50)</f>
        <v>-1</v>
      </c>
      <c r="BA51" s="4">
        <f t="shared" ref="BA51:BD51" si="10">SUM(BA39:BA50)</f>
        <v>-1</v>
      </c>
      <c r="BB51" s="4">
        <f t="shared" si="10"/>
        <v>0</v>
      </c>
      <c r="BC51" s="4">
        <f t="shared" si="10"/>
        <v>50000</v>
      </c>
      <c r="BD51" s="4">
        <f t="shared" si="10"/>
        <v>0</v>
      </c>
      <c r="BE51" s="4">
        <f t="shared" ref="BE51:BO51" si="11">SUM(BE39:BE50)</f>
        <v>0</v>
      </c>
      <c r="BF51" s="4">
        <f t="shared" si="11"/>
        <v>0</v>
      </c>
      <c r="BG51" s="4">
        <f t="shared" si="11"/>
        <v>104000</v>
      </c>
      <c r="BH51" s="4">
        <f t="shared" si="11"/>
        <v>0</v>
      </c>
      <c r="BI51" s="4">
        <f t="shared" si="11"/>
        <v>0</v>
      </c>
      <c r="BJ51" s="4">
        <f t="shared" si="11"/>
        <v>0</v>
      </c>
      <c r="BK51" s="4">
        <f t="shared" si="11"/>
        <v>0</v>
      </c>
      <c r="BL51" s="4">
        <f t="shared" si="11"/>
        <v>0</v>
      </c>
      <c r="BM51" s="4">
        <f t="shared" si="11"/>
        <v>0</v>
      </c>
      <c r="BN51" s="4" t="e">
        <f t="shared" si="11"/>
        <v>#REF!</v>
      </c>
      <c r="BO51" s="4" t="e">
        <f t="shared" si="11"/>
        <v>#REF!</v>
      </c>
      <c r="BP51" s="4" t="e">
        <f t="shared" ref="BP51:CG51" si="12">SUM(BP39:BP50)</f>
        <v>#REF!</v>
      </c>
      <c r="BQ51" s="4" t="e">
        <f t="shared" si="12"/>
        <v>#REF!</v>
      </c>
      <c r="BR51" s="4" t="e">
        <f t="shared" si="12"/>
        <v>#REF!</v>
      </c>
      <c r="BS51" s="4" t="e">
        <f t="shared" si="12"/>
        <v>#REF!</v>
      </c>
      <c r="BT51" s="4" t="e">
        <f t="shared" si="12"/>
        <v>#REF!</v>
      </c>
      <c r="BU51" s="4">
        <f t="shared" si="12"/>
        <v>0</v>
      </c>
      <c r="BV51" s="4">
        <f t="shared" si="12"/>
        <v>0</v>
      </c>
      <c r="BW51" s="4">
        <f t="shared" si="12"/>
        <v>0</v>
      </c>
      <c r="BX51" s="4" t="e">
        <f t="shared" si="12"/>
        <v>#REF!</v>
      </c>
      <c r="BY51" s="4" t="e">
        <f t="shared" si="12"/>
        <v>#REF!</v>
      </c>
      <c r="BZ51" s="4">
        <f t="shared" si="12"/>
        <v>0</v>
      </c>
      <c r="CA51" s="4">
        <f t="shared" si="12"/>
        <v>0</v>
      </c>
      <c r="CB51" s="4">
        <f t="shared" si="12"/>
        <v>0</v>
      </c>
      <c r="CC51" s="4">
        <f t="shared" si="12"/>
        <v>0</v>
      </c>
      <c r="CD51" s="4">
        <f t="shared" si="12"/>
        <v>0</v>
      </c>
      <c r="CE51" s="4">
        <f t="shared" si="12"/>
        <v>0</v>
      </c>
      <c r="CF51" s="4">
        <f t="shared" si="12"/>
        <v>0</v>
      </c>
      <c r="CG51" s="4">
        <f t="shared" si="12"/>
        <v>0</v>
      </c>
      <c r="CH51" s="4">
        <f t="shared" ref="CH51:CK51" si="13">SUM(CH39:CH50)</f>
        <v>0</v>
      </c>
      <c r="CI51" s="4">
        <f t="shared" si="13"/>
        <v>0</v>
      </c>
      <c r="CJ51" s="4">
        <f t="shared" si="13"/>
        <v>0</v>
      </c>
      <c r="CK51" s="4">
        <f t="shared" si="13"/>
        <v>0</v>
      </c>
      <c r="CL51" s="4">
        <f t="shared" ref="CL51:CY51" si="14">SUM(CL39:CL50)</f>
        <v>0</v>
      </c>
      <c r="CM51" s="4">
        <f t="shared" si="14"/>
        <v>0</v>
      </c>
      <c r="CN51" s="4">
        <f t="shared" si="14"/>
        <v>0</v>
      </c>
      <c r="CO51" s="4">
        <f t="shared" si="14"/>
        <v>0</v>
      </c>
      <c r="CP51" s="4">
        <f t="shared" si="14"/>
        <v>-8827</v>
      </c>
      <c r="CQ51" s="4">
        <f t="shared" si="14"/>
        <v>-188952.71</v>
      </c>
      <c r="CR51" s="4">
        <f t="shared" si="14"/>
        <v>-187352.71</v>
      </c>
      <c r="CS51" s="4">
        <f t="shared" si="14"/>
        <v>-167216.71</v>
      </c>
      <c r="CT51" s="4">
        <f t="shared" si="14"/>
        <v>-163053.71</v>
      </c>
      <c r="CU51" s="4">
        <f t="shared" si="14"/>
        <v>-312949.70999999996</v>
      </c>
      <c r="CV51" s="4">
        <f t="shared" si="14"/>
        <v>-192426.71</v>
      </c>
      <c r="CW51" s="4">
        <f t="shared" si="14"/>
        <v>-166352.71</v>
      </c>
      <c r="CX51" s="4">
        <f t="shared" si="14"/>
        <v>-166352.71</v>
      </c>
      <c r="CY51" s="4">
        <f t="shared" si="14"/>
        <v>-201816.71</v>
      </c>
      <c r="CZ51" s="4">
        <f t="shared" ref="CZ51:DA51" si="15">SUM(CZ39:CZ50)</f>
        <v>-166352.71</v>
      </c>
      <c r="DA51" s="4">
        <f t="shared" si="15"/>
        <v>-166352.71</v>
      </c>
      <c r="DB51" s="4">
        <f t="shared" ref="DB51:DC51" si="16">SUM(DB39:DB50)</f>
        <v>-177364.71</v>
      </c>
      <c r="DC51" s="4">
        <f t="shared" si="16"/>
        <v>-200952.71</v>
      </c>
    </row>
    <row r="52" spans="1:163" x14ac:dyDescent="0.2">
      <c r="AC52" s="2">
        <f>AC42*1.5/100</f>
        <v>0</v>
      </c>
    </row>
    <row r="53" spans="1:163" ht="38.25" x14ac:dyDescent="0.2">
      <c r="AW53" s="84" t="s">
        <v>387</v>
      </c>
      <c r="AX53" s="84" t="s">
        <v>388</v>
      </c>
      <c r="AY53" s="2" t="s">
        <v>389</v>
      </c>
      <c r="AZ53" s="2" t="s">
        <v>390</v>
      </c>
      <c r="CE53" s="5" t="s">
        <v>18</v>
      </c>
      <c r="CF53" s="4">
        <f>SUM(CF54:CF71)</f>
        <v>300000</v>
      </c>
      <c r="CQ53" s="3"/>
      <c r="DC53" s="3"/>
    </row>
    <row r="54" spans="1:163" x14ac:dyDescent="0.2">
      <c r="CE54" s="448">
        <v>44448</v>
      </c>
      <c r="CF54" s="4">
        <v>15000</v>
      </c>
      <c r="CP54" s="500"/>
      <c r="CQ54" s="3"/>
      <c r="DC54" s="3"/>
      <c r="DN54" s="613" t="s">
        <v>391</v>
      </c>
      <c r="DO54" s="613"/>
      <c r="DP54" s="613"/>
      <c r="DT54" s="8"/>
      <c r="DU54" s="111" t="s">
        <v>291</v>
      </c>
      <c r="EG54" s="2" t="s">
        <v>392</v>
      </c>
      <c r="EH54" s="2">
        <v>565640.95999999996</v>
      </c>
      <c r="EI54" s="2">
        <v>43</v>
      </c>
      <c r="EJ54" s="2">
        <v>11</v>
      </c>
    </row>
    <row r="55" spans="1:163" x14ac:dyDescent="0.2">
      <c r="CE55" s="448">
        <v>44681</v>
      </c>
      <c r="CF55" s="4">
        <v>25000</v>
      </c>
      <c r="CP55" s="500"/>
      <c r="CQ55" s="3"/>
      <c r="DC55" s="3"/>
      <c r="DN55" s="606" t="s">
        <v>393</v>
      </c>
      <c r="DO55" s="606"/>
      <c r="DP55" s="5">
        <v>49888</v>
      </c>
      <c r="DT55" s="5" t="s">
        <v>394</v>
      </c>
      <c r="DU55" s="4">
        <v>14143</v>
      </c>
      <c r="EG55" s="2" t="s">
        <v>395</v>
      </c>
      <c r="EH55" s="2">
        <v>503705.82</v>
      </c>
      <c r="EI55" s="2">
        <v>44</v>
      </c>
      <c r="EJ55" s="2">
        <v>14</v>
      </c>
      <c r="EK55" s="124">
        <v>521537</v>
      </c>
    </row>
    <row r="56" spans="1:163" x14ac:dyDescent="0.2">
      <c r="CE56" s="448">
        <v>44712</v>
      </c>
      <c r="CF56" s="4">
        <v>25000</v>
      </c>
      <c r="CP56" s="500"/>
      <c r="CQ56" s="3"/>
      <c r="DC56" s="3"/>
      <c r="DN56" s="606" t="s">
        <v>396</v>
      </c>
      <c r="DO56" s="606"/>
      <c r="DP56" s="5">
        <v>17500</v>
      </c>
      <c r="DT56" s="5" t="s">
        <v>394</v>
      </c>
      <c r="DU56" s="4">
        <v>30920</v>
      </c>
      <c r="EG56" s="2" t="s">
        <v>397</v>
      </c>
      <c r="FF56" s="102" t="s">
        <v>398</v>
      </c>
      <c r="FG56" s="102"/>
    </row>
    <row r="57" spans="1:163" ht="14.85" customHeight="1" x14ac:dyDescent="0.2">
      <c r="CE57" s="448">
        <v>44744</v>
      </c>
      <c r="CF57" s="4">
        <v>25000</v>
      </c>
      <c r="CP57" s="500"/>
      <c r="CQ57" s="3"/>
      <c r="DC57" s="3"/>
      <c r="DN57" s="606" t="s">
        <v>399</v>
      </c>
      <c r="DO57" s="606"/>
      <c r="DP57" s="5">
        <v>61700</v>
      </c>
      <c r="DR57" s="614" t="s">
        <v>400</v>
      </c>
      <c r="DS57" s="615"/>
      <c r="DT57" s="5" t="s">
        <v>401</v>
      </c>
      <c r="DU57" s="4">
        <v>14000</v>
      </c>
      <c r="EG57" s="2" t="s">
        <v>402</v>
      </c>
      <c r="EO57" s="610" t="s">
        <v>403</v>
      </c>
      <c r="EP57" s="611"/>
      <c r="EQ57" s="611"/>
      <c r="ER57" s="611"/>
      <c r="ES57" s="611"/>
      <c r="ET57" s="612"/>
      <c r="EV57" s="440" t="s">
        <v>404</v>
      </c>
      <c r="EW57" s="440"/>
      <c r="EX57" s="440"/>
      <c r="EY57" s="440"/>
      <c r="EZ57" s="440"/>
      <c r="FA57" s="440"/>
      <c r="FF57" s="2">
        <v>1</v>
      </c>
      <c r="FG57" s="2">
        <v>2472.2600000000002</v>
      </c>
    </row>
    <row r="58" spans="1:163" x14ac:dyDescent="0.2">
      <c r="CE58" s="448">
        <v>44763</v>
      </c>
      <c r="CF58" s="4">
        <v>5000</v>
      </c>
      <c r="CP58" s="500"/>
      <c r="CQ58" s="3"/>
      <c r="DC58" s="3"/>
      <c r="DN58" s="606" t="s">
        <v>405</v>
      </c>
      <c r="DO58" s="606"/>
      <c r="DP58" s="5">
        <v>-20000</v>
      </c>
      <c r="DR58" s="102"/>
      <c r="DT58" s="5" t="s">
        <v>406</v>
      </c>
      <c r="DU58" s="4">
        <v>100000</v>
      </c>
      <c r="EO58" s="5"/>
      <c r="EP58" s="5"/>
      <c r="EQ58" s="5" t="s">
        <v>352</v>
      </c>
      <c r="ER58" s="5" t="s">
        <v>17</v>
      </c>
      <c r="ES58" s="5" t="s">
        <v>254</v>
      </c>
      <c r="ET58" s="5" t="s">
        <v>18</v>
      </c>
      <c r="EV58" s="5"/>
      <c r="EW58" s="5"/>
      <c r="EX58" s="5" t="s">
        <v>352</v>
      </c>
      <c r="EY58" s="5" t="s">
        <v>17</v>
      </c>
      <c r="EZ58" s="5" t="s">
        <v>254</v>
      </c>
      <c r="FA58" s="5" t="s">
        <v>18</v>
      </c>
      <c r="FF58" s="2">
        <v>2</v>
      </c>
      <c r="FG58" s="2">
        <v>2355.44</v>
      </c>
    </row>
    <row r="59" spans="1:163" x14ac:dyDescent="0.2">
      <c r="CE59" s="448">
        <v>44775</v>
      </c>
      <c r="CF59" s="4">
        <v>25000</v>
      </c>
      <c r="CP59" s="500"/>
      <c r="CQ59" s="3"/>
      <c r="DC59" s="3"/>
      <c r="DN59" s="95"/>
      <c r="DO59" s="95"/>
      <c r="DP59" s="5"/>
      <c r="DR59" s="102"/>
      <c r="DT59" s="5"/>
      <c r="DU59" s="4"/>
      <c r="EO59" s="5"/>
      <c r="EP59" s="5" t="s">
        <v>367</v>
      </c>
      <c r="EQ59" s="5">
        <v>199</v>
      </c>
      <c r="ER59" s="5"/>
      <c r="ES59" s="5">
        <f>EQ59*18/100</f>
        <v>35.82</v>
      </c>
      <c r="ET59" s="5">
        <f>SUM(EQ59:ES59)</f>
        <v>234.82</v>
      </c>
      <c r="EV59" s="5"/>
      <c r="EW59" s="5" t="s">
        <v>367</v>
      </c>
      <c r="EX59" s="5">
        <v>199</v>
      </c>
      <c r="EY59" s="5"/>
      <c r="EZ59" s="5">
        <f>EX59*18/100</f>
        <v>35.82</v>
      </c>
      <c r="FA59" s="5">
        <f>SUM(EX59:EZ59)</f>
        <v>234.82</v>
      </c>
    </row>
    <row r="60" spans="1:163" x14ac:dyDescent="0.2">
      <c r="CE60" s="448">
        <v>44816</v>
      </c>
      <c r="CF60" s="4">
        <v>25000</v>
      </c>
      <c r="CP60" s="500"/>
      <c r="CQ60" s="3"/>
      <c r="DC60" s="3"/>
      <c r="DN60" s="606" t="s">
        <v>407</v>
      </c>
      <c r="DO60" s="606"/>
      <c r="DP60" s="5">
        <v>-10000</v>
      </c>
      <c r="DT60" s="5" t="s">
        <v>406</v>
      </c>
      <c r="DU60" s="4">
        <v>46500</v>
      </c>
      <c r="EO60" s="390">
        <v>44470</v>
      </c>
      <c r="EP60" s="5" t="s">
        <v>408</v>
      </c>
      <c r="EQ60" s="163">
        <v>5414.21</v>
      </c>
      <c r="ER60" s="5">
        <v>391.02</v>
      </c>
      <c r="ES60" s="5">
        <f>ER60*18/100</f>
        <v>70.383600000000001</v>
      </c>
      <c r="ET60" s="5">
        <f t="shared" ref="ET60:ET65" si="17">SUM(EQ60:ES60)</f>
        <v>5875.6135999999997</v>
      </c>
      <c r="EV60" s="390">
        <v>44398</v>
      </c>
      <c r="EW60" s="5" t="s">
        <v>408</v>
      </c>
      <c r="EX60" s="163">
        <v>7546.29</v>
      </c>
      <c r="EY60" s="5">
        <v>343.83</v>
      </c>
      <c r="EZ60" s="5">
        <f>EY60*18/100</f>
        <v>61.889399999999995</v>
      </c>
      <c r="FA60" s="5">
        <f t="shared" ref="FA60:FA62" si="18">SUM(EX60:EZ60)</f>
        <v>7952.0093999999999</v>
      </c>
    </row>
    <row r="61" spans="1:163" x14ac:dyDescent="0.2">
      <c r="CE61" s="448">
        <v>44839</v>
      </c>
      <c r="CF61" s="4">
        <v>25000</v>
      </c>
      <c r="CP61" s="500"/>
      <c r="CQ61" s="3"/>
      <c r="DC61" s="3"/>
      <c r="DN61" s="606" t="s">
        <v>409</v>
      </c>
      <c r="DO61" s="606"/>
      <c r="DP61" s="5">
        <v>-40000</v>
      </c>
      <c r="DT61" s="5" t="s">
        <v>410</v>
      </c>
      <c r="DU61" s="4">
        <v>39500</v>
      </c>
      <c r="EG61" s="2" t="s">
        <v>18</v>
      </c>
      <c r="EH61" s="2">
        <f>SUM(EH54:EH60)</f>
        <v>1069346.78</v>
      </c>
      <c r="EO61" s="5"/>
      <c r="EP61" s="5" t="s">
        <v>411</v>
      </c>
      <c r="EQ61" s="5"/>
      <c r="ER61" s="5"/>
      <c r="ES61" s="5"/>
      <c r="ET61" s="5">
        <f t="shared" si="17"/>
        <v>0</v>
      </c>
      <c r="EV61" s="390">
        <v>44429</v>
      </c>
      <c r="EW61" s="5" t="s">
        <v>411</v>
      </c>
      <c r="EX61" s="163">
        <v>7640.62</v>
      </c>
      <c r="EY61" s="5">
        <v>192.2</v>
      </c>
      <c r="EZ61" s="5">
        <f t="shared" ref="EZ61:EZ62" si="19">EY61*18/100</f>
        <v>34.595999999999997</v>
      </c>
      <c r="FA61" s="5">
        <f t="shared" si="18"/>
        <v>7867.4159999999993</v>
      </c>
    </row>
    <row r="62" spans="1:163" x14ac:dyDescent="0.2">
      <c r="CE62" s="448">
        <v>44928</v>
      </c>
      <c r="CF62" s="4">
        <v>25000</v>
      </c>
      <c r="CP62" s="500"/>
      <c r="CQ62" s="3"/>
      <c r="DC62" s="3"/>
      <c r="DN62" s="606"/>
      <c r="DO62" s="606"/>
      <c r="DP62" s="5"/>
      <c r="DT62" s="5" t="s">
        <v>412</v>
      </c>
      <c r="DU62" s="4">
        <v>3000</v>
      </c>
      <c r="EO62" s="5"/>
      <c r="EP62" s="5" t="s">
        <v>413</v>
      </c>
      <c r="EQ62" s="5"/>
      <c r="ER62" s="5"/>
      <c r="ES62" s="5"/>
      <c r="ET62" s="5">
        <f t="shared" si="17"/>
        <v>0</v>
      </c>
      <c r="EV62" s="390">
        <v>44460</v>
      </c>
      <c r="EW62" s="5" t="s">
        <v>413</v>
      </c>
      <c r="EX62" s="163">
        <v>7736.09</v>
      </c>
      <c r="EY62" s="5">
        <v>96.7</v>
      </c>
      <c r="EZ62" s="5">
        <f t="shared" si="19"/>
        <v>17.406000000000002</v>
      </c>
      <c r="FA62" s="5">
        <f t="shared" si="18"/>
        <v>7850.1959999999999</v>
      </c>
    </row>
    <row r="63" spans="1:163" x14ac:dyDescent="0.2">
      <c r="CE63" s="448">
        <v>44928</v>
      </c>
      <c r="CF63" s="4">
        <v>25000</v>
      </c>
      <c r="CP63" s="500"/>
      <c r="CQ63" s="3"/>
      <c r="DC63" s="3"/>
      <c r="DN63" s="608" t="s">
        <v>18</v>
      </c>
      <c r="DO63" s="609"/>
      <c r="DP63" s="5">
        <f>SUM(DP55:DP62)</f>
        <v>59088</v>
      </c>
      <c r="DT63" s="5"/>
      <c r="DU63" s="4"/>
      <c r="EO63" s="5"/>
      <c r="EP63" s="5" t="s">
        <v>414</v>
      </c>
      <c r="EQ63" s="5"/>
      <c r="ER63" s="5"/>
      <c r="ES63" s="5"/>
      <c r="ET63" s="5">
        <f t="shared" si="17"/>
        <v>0</v>
      </c>
      <c r="EV63" s="390"/>
      <c r="EW63" s="5"/>
      <c r="EX63" s="5"/>
      <c r="EY63" s="5"/>
      <c r="EZ63" s="5" t="s">
        <v>18</v>
      </c>
      <c r="FA63" s="5">
        <f>SUM(FA59:FA62)</f>
        <v>23904.4414</v>
      </c>
    </row>
    <row r="64" spans="1:163" x14ac:dyDescent="0.2">
      <c r="CE64" s="448">
        <v>45007</v>
      </c>
      <c r="CF64" s="4">
        <v>25000</v>
      </c>
      <c r="CP64" s="500"/>
      <c r="CQ64" s="3"/>
      <c r="DC64" s="3"/>
      <c r="DT64" s="5" t="s">
        <v>415</v>
      </c>
      <c r="DU64" s="4">
        <v>8844</v>
      </c>
      <c r="EO64" s="5"/>
      <c r="EP64" s="5" t="s">
        <v>416</v>
      </c>
      <c r="EQ64" s="5"/>
      <c r="ER64" s="5"/>
      <c r="ES64" s="5"/>
      <c r="ET64" s="5">
        <f t="shared" si="17"/>
        <v>0</v>
      </c>
      <c r="EV64" s="390"/>
      <c r="EW64" s="5"/>
      <c r="EX64" s="5"/>
      <c r="EY64" s="243"/>
      <c r="EZ64" s="243">
        <v>44399</v>
      </c>
      <c r="FA64" s="5">
        <v>-10000</v>
      </c>
    </row>
    <row r="65" spans="83:157" x14ac:dyDescent="0.2">
      <c r="CE65" s="448">
        <v>45043</v>
      </c>
      <c r="CF65" s="4">
        <v>25000</v>
      </c>
      <c r="CP65" s="500"/>
      <c r="CQ65" s="3"/>
      <c r="DC65" s="3"/>
      <c r="DT65" s="5" t="s">
        <v>415</v>
      </c>
      <c r="DU65" s="4">
        <v>16238</v>
      </c>
      <c r="EO65" s="5"/>
      <c r="EP65" s="5" t="s">
        <v>417</v>
      </c>
      <c r="EQ65" s="5"/>
      <c r="ER65" s="5"/>
      <c r="ES65" s="5"/>
      <c r="ET65" s="5">
        <f t="shared" si="17"/>
        <v>0</v>
      </c>
      <c r="EV65" s="390"/>
      <c r="EW65" s="5"/>
      <c r="EX65" s="5"/>
      <c r="EY65" s="5"/>
      <c r="EZ65" s="243">
        <v>44427</v>
      </c>
      <c r="FA65" s="5">
        <v>-10000</v>
      </c>
    </row>
    <row r="66" spans="83:157" x14ac:dyDescent="0.2">
      <c r="CE66" s="448">
        <v>45073</v>
      </c>
      <c r="CF66" s="375">
        <v>30000</v>
      </c>
      <c r="CP66" s="500"/>
      <c r="CQ66" s="3"/>
      <c r="DC66" s="3"/>
      <c r="DT66" s="5" t="s">
        <v>418</v>
      </c>
      <c r="DU66" s="4">
        <v>-49669.22</v>
      </c>
      <c r="EO66" s="5"/>
      <c r="EP66" s="5"/>
      <c r="EQ66" s="5"/>
      <c r="ER66" s="5"/>
      <c r="ES66" s="5" t="s">
        <v>18</v>
      </c>
      <c r="ET66" s="5">
        <f>SUM(ET59:ET65)</f>
        <v>6110.4335999999994</v>
      </c>
      <c r="EV66" s="390"/>
      <c r="EW66" s="5"/>
      <c r="EX66" s="5"/>
      <c r="EY66" s="5"/>
      <c r="EZ66" s="5"/>
      <c r="FA66" s="5"/>
    </row>
    <row r="67" spans="83:157" x14ac:dyDescent="0.2">
      <c r="CE67" s="448"/>
      <c r="CF67" s="4"/>
      <c r="CP67" s="500"/>
      <c r="CQ67" s="3"/>
      <c r="DC67" s="3"/>
      <c r="DD67" s="170"/>
      <c r="DE67" s="170"/>
      <c r="DF67" s="170"/>
      <c r="DG67" s="170"/>
      <c r="DH67" s="170"/>
      <c r="DI67" s="170"/>
      <c r="DJ67" s="8" t="s">
        <v>419</v>
      </c>
      <c r="DK67" s="8"/>
      <c r="DL67" s="8"/>
      <c r="DT67" s="5" t="s">
        <v>420</v>
      </c>
      <c r="DU67" s="4">
        <v>-50000</v>
      </c>
      <c r="DV67" s="170"/>
      <c r="EV67" s="390"/>
      <c r="EW67" s="5"/>
      <c r="EX67" s="5"/>
      <c r="EY67" s="5"/>
      <c r="EZ67" s="5" t="s">
        <v>0</v>
      </c>
      <c r="FA67" s="5">
        <f>SUM(FA63:FA65)</f>
        <v>3904.4413999999997</v>
      </c>
    </row>
    <row r="68" spans="83:157" x14ac:dyDescent="0.2">
      <c r="CE68" s="448"/>
      <c r="CF68" s="4"/>
      <c r="CP68" s="500"/>
      <c r="CQ68" s="3"/>
      <c r="DC68" s="3"/>
      <c r="DJ68" s="5" t="s">
        <v>421</v>
      </c>
      <c r="DK68" s="4">
        <v>360000</v>
      </c>
      <c r="DL68" s="4"/>
      <c r="DP68" s="2">
        <v>145000</v>
      </c>
      <c r="DT68" s="5" t="s">
        <v>422</v>
      </c>
      <c r="DU68" s="4">
        <v>-100000</v>
      </c>
      <c r="EV68" s="391"/>
    </row>
    <row r="69" spans="83:157" x14ac:dyDescent="0.2">
      <c r="CE69" s="448"/>
      <c r="CF69" s="4"/>
      <c r="CP69" s="500"/>
      <c r="CQ69" s="3"/>
      <c r="DC69" s="3"/>
      <c r="DJ69" s="5" t="s">
        <v>423</v>
      </c>
      <c r="DK69" s="4">
        <v>-9000</v>
      </c>
      <c r="DL69" s="4"/>
      <c r="DP69" s="2">
        <v>-54276</v>
      </c>
      <c r="DT69" s="5" t="s">
        <v>424</v>
      </c>
      <c r="DU69" s="4">
        <v>-50000</v>
      </c>
      <c r="EV69" s="391"/>
    </row>
    <row r="70" spans="83:157" x14ac:dyDescent="0.2">
      <c r="CE70" s="448"/>
      <c r="CF70" s="4"/>
      <c r="CP70" s="500"/>
      <c r="CQ70" s="3"/>
      <c r="DC70" s="3"/>
      <c r="DJ70" s="5" t="s">
        <v>425</v>
      </c>
      <c r="DK70" s="4">
        <v>-336580.72</v>
      </c>
      <c r="DL70" s="4"/>
      <c r="DT70" s="5" t="s">
        <v>426</v>
      </c>
      <c r="DU70" s="4">
        <v>-45000</v>
      </c>
    </row>
    <row r="71" spans="83:157" x14ac:dyDescent="0.2">
      <c r="CE71" s="448"/>
      <c r="CF71" s="4"/>
      <c r="CP71" s="500"/>
      <c r="CQ71" s="3"/>
      <c r="DC71" s="3"/>
      <c r="DJ71" s="5" t="s">
        <v>427</v>
      </c>
      <c r="DK71" s="4">
        <v>-500</v>
      </c>
      <c r="DL71" s="4"/>
      <c r="DN71" s="2">
        <v>6056</v>
      </c>
      <c r="DP71" s="2">
        <v>-8280</v>
      </c>
      <c r="DT71" s="5"/>
      <c r="DU71" s="4"/>
    </row>
    <row r="72" spans="83:157" ht="12.75" customHeight="1" x14ac:dyDescent="0.2">
      <c r="DD72" s="84"/>
      <c r="DE72" s="84"/>
      <c r="DF72" s="84"/>
      <c r="DG72" s="84"/>
      <c r="DH72" s="84"/>
      <c r="DI72" s="84"/>
      <c r="DJ72" s="224" t="s">
        <v>428</v>
      </c>
      <c r="DK72" s="4">
        <v>-10000</v>
      </c>
      <c r="DL72" s="5"/>
      <c r="DN72" s="2">
        <v>23.18</v>
      </c>
      <c r="DP72" s="2">
        <v>-5000</v>
      </c>
      <c r="DT72" s="5" t="s">
        <v>429</v>
      </c>
      <c r="DU72" s="4">
        <v>3547</v>
      </c>
      <c r="DV72" s="84"/>
    </row>
    <row r="73" spans="83:157" x14ac:dyDescent="0.2">
      <c r="DJ73" s="5" t="s">
        <v>430</v>
      </c>
      <c r="DK73" s="4">
        <v>-2800</v>
      </c>
      <c r="DL73" s="4"/>
      <c r="DP73" s="2">
        <v>-23000</v>
      </c>
      <c r="DT73" s="5" t="s">
        <v>18</v>
      </c>
      <c r="DU73" s="4">
        <f>SUM(DU55:DU72)</f>
        <v>-17977.22</v>
      </c>
    </row>
    <row r="74" spans="83:157" x14ac:dyDescent="0.2">
      <c r="DJ74" s="5"/>
      <c r="DK74" s="4"/>
      <c r="DL74" s="4"/>
    </row>
    <row r="75" spans="83:157" x14ac:dyDescent="0.2">
      <c r="DJ75" s="5"/>
      <c r="DK75" s="4"/>
      <c r="DL75" s="4"/>
    </row>
    <row r="76" spans="83:157" x14ac:dyDescent="0.2">
      <c r="DJ76" s="5" t="s">
        <v>0</v>
      </c>
      <c r="DK76" s="4">
        <f>SUM(DK68:DK75)</f>
        <v>1119.2800000000279</v>
      </c>
      <c r="DL76" s="4"/>
    </row>
    <row r="77" spans="83:157" x14ac:dyDescent="0.2">
      <c r="DJ77" s="5"/>
      <c r="DK77" s="4">
        <f>DK76/8</f>
        <v>139.91000000000349</v>
      </c>
      <c r="DL77" s="4"/>
    </row>
    <row r="78" spans="83:157" x14ac:dyDescent="0.2">
      <c r="DK78" s="3"/>
      <c r="DL78" s="3"/>
      <c r="DS78" s="2">
        <v>-25000</v>
      </c>
    </row>
    <row r="79" spans="83:157" x14ac:dyDescent="0.2">
      <c r="DP79" s="3"/>
      <c r="DS79" s="2">
        <v>6000</v>
      </c>
    </row>
    <row r="80" spans="83:157" x14ac:dyDescent="0.2">
      <c r="DN80" s="2">
        <v>250000</v>
      </c>
      <c r="DO80" s="2">
        <v>2</v>
      </c>
      <c r="DP80" s="3">
        <v>4</v>
      </c>
      <c r="DQ80" s="2">
        <f>DN80*DO80/100</f>
        <v>5000</v>
      </c>
      <c r="DR80" s="2">
        <f>DQ80/30</f>
        <v>166.66666666666666</v>
      </c>
      <c r="DS80" s="2">
        <f>DR80*DP80</f>
        <v>666.66666666666663</v>
      </c>
    </row>
    <row r="81" spans="31:122" x14ac:dyDescent="0.2">
      <c r="DN81" s="84"/>
      <c r="DP81" s="3"/>
    </row>
    <row r="82" spans="31:122" x14ac:dyDescent="0.2">
      <c r="DN82" s="2">
        <v>50000</v>
      </c>
      <c r="DO82" s="2">
        <f>DN82*2/100</f>
        <v>1000</v>
      </c>
      <c r="DP82" s="3">
        <f>DO82/2</f>
        <v>500</v>
      </c>
    </row>
    <row r="83" spans="31:122" x14ac:dyDescent="0.2">
      <c r="DP83" s="3"/>
    </row>
    <row r="84" spans="31:122" x14ac:dyDescent="0.2">
      <c r="DP84" s="3"/>
      <c r="DR84" s="2">
        <v>25000</v>
      </c>
    </row>
    <row r="85" spans="31:122" x14ac:dyDescent="0.2">
      <c r="DP85" s="3"/>
      <c r="DR85" s="2">
        <v>-6000</v>
      </c>
    </row>
    <row r="86" spans="31:122" x14ac:dyDescent="0.2">
      <c r="DP86" s="3"/>
      <c r="DR86" s="2">
        <v>-667</v>
      </c>
    </row>
    <row r="87" spans="31:122" x14ac:dyDescent="0.2">
      <c r="DP87" s="3"/>
      <c r="DR87" s="2">
        <v>-500</v>
      </c>
    </row>
    <row r="88" spans="31:122" x14ac:dyDescent="0.2">
      <c r="AE88" s="3"/>
    </row>
    <row r="89" spans="31:122" x14ac:dyDescent="0.2">
      <c r="AE89" s="3"/>
    </row>
    <row r="90" spans="31:122" x14ac:dyDescent="0.2">
      <c r="AE90" s="3"/>
    </row>
    <row r="91" spans="31:122" x14ac:dyDescent="0.2">
      <c r="AE91" s="3"/>
    </row>
    <row r="92" spans="31:122" x14ac:dyDescent="0.2">
      <c r="AE92" s="3"/>
    </row>
    <row r="93" spans="31:122" x14ac:dyDescent="0.2">
      <c r="AE93" s="3"/>
    </row>
    <row r="94" spans="31:122" x14ac:dyDescent="0.2">
      <c r="AE94" s="3"/>
    </row>
    <row r="95" spans="31:122" x14ac:dyDescent="0.2">
      <c r="AE95" s="3"/>
    </row>
    <row r="97" spans="17:67" x14ac:dyDescent="0.2">
      <c r="Q97" s="607"/>
      <c r="R97" s="607"/>
      <c r="S97" s="607"/>
      <c r="T97" s="607"/>
      <c r="U97" s="607"/>
      <c r="V97" s="607"/>
      <c r="W97" s="607"/>
      <c r="X97" s="229"/>
      <c r="Y97" s="229"/>
      <c r="AC97" s="87"/>
      <c r="AD97" s="87"/>
      <c r="AE97" s="87"/>
      <c r="AF97" s="87"/>
      <c r="AG97" s="87"/>
      <c r="AH97" s="87"/>
      <c r="AI97" s="87"/>
      <c r="AJ97" s="229"/>
      <c r="AN97" s="229"/>
      <c r="AO97" s="229"/>
      <c r="AP97" s="229"/>
      <c r="AQ97" s="229"/>
      <c r="AR97" s="229"/>
      <c r="AS97" s="229"/>
      <c r="AT97" s="229"/>
      <c r="AU97" s="229"/>
      <c r="AV97" s="229"/>
      <c r="AZ97" s="229"/>
      <c r="BA97" s="229"/>
      <c r="BB97" s="229"/>
      <c r="BC97" s="229"/>
      <c r="BD97" s="229"/>
      <c r="BE97" s="229"/>
      <c r="BF97" s="229"/>
      <c r="BG97" s="229"/>
      <c r="BH97" s="229"/>
      <c r="BI97" s="229"/>
      <c r="BJ97" s="229"/>
      <c r="BK97" s="229"/>
      <c r="BL97" s="229"/>
      <c r="BM97" s="229"/>
      <c r="BN97" s="229"/>
      <c r="BO97" s="229"/>
    </row>
    <row r="98" spans="17:67" x14ac:dyDescent="0.2">
      <c r="Q98" s="604"/>
      <c r="R98" s="604"/>
      <c r="S98" s="604"/>
      <c r="T98" s="604"/>
    </row>
    <row r="99" spans="17:67" x14ac:dyDescent="0.2">
      <c r="Q99" s="604"/>
      <c r="R99" s="604"/>
      <c r="S99" s="604"/>
      <c r="T99" s="604"/>
    </row>
    <row r="100" spans="17:67" x14ac:dyDescent="0.2">
      <c r="Q100" s="604"/>
      <c r="R100" s="604"/>
      <c r="S100" s="604"/>
      <c r="T100" s="604"/>
    </row>
    <row r="101" spans="17:67" x14ac:dyDescent="0.2">
      <c r="Q101" s="604"/>
      <c r="R101" s="604"/>
      <c r="S101" s="604"/>
      <c r="T101" s="604"/>
    </row>
    <row r="102" spans="17:67" x14ac:dyDescent="0.2">
      <c r="Q102" s="604"/>
      <c r="R102" s="604"/>
      <c r="S102" s="604"/>
      <c r="T102" s="604"/>
    </row>
    <row r="103" spans="17:67" x14ac:dyDescent="0.2">
      <c r="Q103" s="604"/>
      <c r="R103" s="604"/>
      <c r="S103" s="604"/>
      <c r="T103" s="604"/>
    </row>
    <row r="105" spans="17:67" x14ac:dyDescent="0.2">
      <c r="AF105" s="2">
        <v>26000</v>
      </c>
    </row>
    <row r="106" spans="17:67" x14ac:dyDescent="0.2">
      <c r="T106" s="605"/>
      <c r="AF106" s="175">
        <f>AF105*12</f>
        <v>312000</v>
      </c>
    </row>
    <row r="107" spans="17:67" x14ac:dyDescent="0.2">
      <c r="T107" s="605"/>
      <c r="AE107" s="2" t="s">
        <v>352</v>
      </c>
      <c r="AF107" s="175">
        <v>30000</v>
      </c>
    </row>
    <row r="108" spans="17:67" x14ac:dyDescent="0.2">
      <c r="T108" s="605"/>
      <c r="AB108" s="2" t="s">
        <v>431</v>
      </c>
      <c r="AC108" s="2">
        <v>150000</v>
      </c>
      <c r="AE108" s="2" t="s">
        <v>17</v>
      </c>
      <c r="AF108" s="175">
        <f>AF106-AF107</f>
        <v>282000</v>
      </c>
    </row>
    <row r="109" spans="17:67" x14ac:dyDescent="0.2">
      <c r="T109" s="605"/>
      <c r="AB109" s="2" t="s">
        <v>191</v>
      </c>
      <c r="AC109" s="2">
        <v>25000</v>
      </c>
      <c r="AF109" s="175"/>
    </row>
    <row r="110" spans="17:67" x14ac:dyDescent="0.2">
      <c r="T110" s="605"/>
      <c r="AB110" s="2" t="s">
        <v>197</v>
      </c>
      <c r="AF110" s="175"/>
    </row>
    <row r="111" spans="17:67" x14ac:dyDescent="0.2">
      <c r="T111" s="605"/>
      <c r="AB111" s="2" t="s">
        <v>432</v>
      </c>
      <c r="AC111" s="2">
        <v>50000</v>
      </c>
      <c r="AF111" s="175"/>
    </row>
    <row r="112" spans="17:67" x14ac:dyDescent="0.2">
      <c r="T112" s="605"/>
      <c r="AF112" s="175"/>
    </row>
    <row r="113" spans="28:32" x14ac:dyDescent="0.2">
      <c r="AB113" s="2" t="s">
        <v>433</v>
      </c>
      <c r="AF113" s="176"/>
    </row>
    <row r="114" spans="28:32" x14ac:dyDescent="0.2">
      <c r="AB114" s="2" t="s">
        <v>434</v>
      </c>
      <c r="AF114" s="176"/>
    </row>
    <row r="115" spans="28:32" x14ac:dyDescent="0.2">
      <c r="AF115" s="176"/>
    </row>
    <row r="116" spans="28:32" x14ac:dyDescent="0.2">
      <c r="AB116" s="2" t="s">
        <v>435</v>
      </c>
      <c r="AC116" s="2">
        <v>250000</v>
      </c>
      <c r="AF116" s="176"/>
    </row>
    <row r="117" spans="28:32" x14ac:dyDescent="0.2">
      <c r="AF117" s="176"/>
    </row>
  </sheetData>
  <sortState xmlns:xlrd2="http://schemas.microsoft.com/office/spreadsheetml/2017/richdata2" ref="A11:CK38">
    <sortCondition ref="B11:B38"/>
    <sortCondition ref="A11:A38"/>
    <sortCondition ref="C11:C38"/>
  </sortState>
  <mergeCells count="19">
    <mergeCell ref="EO57:ET57"/>
    <mergeCell ref="DN54:DP54"/>
    <mergeCell ref="DR57:DS57"/>
    <mergeCell ref="DN55:DO55"/>
    <mergeCell ref="DN56:DO56"/>
    <mergeCell ref="DN57:DO57"/>
    <mergeCell ref="DN58:DO58"/>
    <mergeCell ref="Q98:T98"/>
    <mergeCell ref="Q97:W97"/>
    <mergeCell ref="DN60:DO60"/>
    <mergeCell ref="DN61:DO61"/>
    <mergeCell ref="DN62:DO62"/>
    <mergeCell ref="DN63:DO63"/>
    <mergeCell ref="Q99:T99"/>
    <mergeCell ref="T106:T112"/>
    <mergeCell ref="Q101:T101"/>
    <mergeCell ref="Q102:T102"/>
    <mergeCell ref="Q103:T103"/>
    <mergeCell ref="Q100:T100"/>
  </mergeCells>
  <phoneticPr fontId="56" type="noConversion"/>
  <conditionalFormatting sqref="C2:C37">
    <cfRule type="cellIs" dxfId="95" priority="121" operator="equal">
      <formula>DAY(TODAY())</formula>
    </cfRule>
  </conditionalFormatting>
  <conditionalFormatting sqref="H2">
    <cfRule type="cellIs" dxfId="94" priority="519" operator="lessThan">
      <formula>0</formula>
    </cfRule>
  </conditionalFormatting>
  <conditionalFormatting sqref="H8:AL9">
    <cfRule type="cellIs" dxfId="93" priority="244" operator="equal">
      <formula>0</formula>
    </cfRule>
  </conditionalFormatting>
  <conditionalFormatting sqref="H10:AO11">
    <cfRule type="cellIs" dxfId="92" priority="226" operator="equal">
      <formula>0</formula>
    </cfRule>
  </conditionalFormatting>
  <conditionalFormatting sqref="H29:AO35">
    <cfRule type="cellIs" dxfId="91" priority="188" operator="equal">
      <formula>0</formula>
    </cfRule>
  </conditionalFormatting>
  <conditionalFormatting sqref="H3:AR7 H25:R28">
    <cfRule type="cellIs" dxfId="90" priority="508" operator="equal">
      <formula>0</formula>
    </cfRule>
  </conditionalFormatting>
  <conditionalFormatting sqref="H18:AV19">
    <cfRule type="cellIs" dxfId="89" priority="174" operator="equal">
      <formula>0</formula>
    </cfRule>
  </conditionalFormatting>
  <conditionalFormatting sqref="H36:CD38">
    <cfRule type="cellIs" dxfId="88" priority="102" operator="equal">
      <formula>0</formula>
    </cfRule>
  </conditionalFormatting>
  <conditionalFormatting sqref="I2:CM2 AS3:CM11 H12:CM17 AW18:CM20 H20:T22 AN21:CM21 AZ22:CM22 CE23:CM38">
    <cfRule type="cellIs" dxfId="87" priority="489" operator="equal">
      <formula>0</formula>
    </cfRule>
  </conditionalFormatting>
  <conditionalFormatting sqref="N24:R24">
    <cfRule type="cellIs" dxfId="86" priority="442" operator="equal">
      <formula>0</formula>
    </cfRule>
  </conditionalFormatting>
  <conditionalFormatting sqref="N23:T23">
    <cfRule type="cellIs" dxfId="85" priority="486" operator="equal">
      <formula>0</formula>
    </cfRule>
  </conditionalFormatting>
  <conditionalFormatting sqref="S24:AO28">
    <cfRule type="cellIs" dxfId="84" priority="224" operator="equal">
      <formula>0</formula>
    </cfRule>
  </conditionalFormatting>
  <conditionalFormatting sqref="U20:Y23">
    <cfRule type="cellIs" dxfId="83" priority="450" operator="equal">
      <formula>0</formula>
    </cfRule>
  </conditionalFormatting>
  <conditionalFormatting sqref="Z21:AE23">
    <cfRule type="cellIs" dxfId="82" priority="178" operator="equal">
      <formula>0</formula>
    </cfRule>
  </conditionalFormatting>
  <conditionalFormatting sqref="Z20:AF20">
    <cfRule type="cellIs" dxfId="81" priority="417" operator="equal">
      <formula>0</formula>
    </cfRule>
  </conditionalFormatting>
  <conditionalFormatting sqref="AF21:AF22">
    <cfRule type="cellIs" dxfId="80" priority="422" operator="equal">
      <formula>0</formula>
    </cfRule>
  </conditionalFormatting>
  <conditionalFormatting sqref="AF23:AV23">
    <cfRule type="cellIs" dxfId="79" priority="175" operator="equal">
      <formula>0</formula>
    </cfRule>
  </conditionalFormatting>
  <conditionalFormatting sqref="AG20:AM22">
    <cfRule type="cellIs" dxfId="78" priority="316" operator="equal">
      <formula>0</formula>
    </cfRule>
  </conditionalFormatting>
  <conditionalFormatting sqref="AM9:AO9">
    <cfRule type="cellIs" dxfId="77" priority="243" operator="equal">
      <formula>0</formula>
    </cfRule>
  </conditionalFormatting>
  <conditionalFormatting sqref="AM8:AR8">
    <cfRule type="cellIs" dxfId="76" priority="162" operator="equal">
      <formula>0</formula>
    </cfRule>
  </conditionalFormatting>
  <conditionalFormatting sqref="AN20:AV20">
    <cfRule type="cellIs" dxfId="75" priority="212" operator="equal">
      <formula>0</formula>
    </cfRule>
  </conditionalFormatting>
  <conditionalFormatting sqref="AN22:AV22">
    <cfRule type="cellIs" dxfId="74" priority="217" operator="equal">
      <formula>0</formula>
    </cfRule>
  </conditionalFormatting>
  <conditionalFormatting sqref="AP9:AR11">
    <cfRule type="cellIs" dxfId="73" priority="197" operator="equal">
      <formula>0</formula>
    </cfRule>
  </conditionalFormatting>
  <conditionalFormatting sqref="AP24:CD35">
    <cfRule type="cellIs" dxfId="72" priority="9" operator="equal">
      <formula>0</formula>
    </cfRule>
  </conditionalFormatting>
  <conditionalFormatting sqref="AW22:AY23">
    <cfRule type="cellIs" dxfId="71" priority="140" operator="equal">
      <formula>0</formula>
    </cfRule>
  </conditionalFormatting>
  <conditionalFormatting sqref="AZ23:CD23 H23:M24">
    <cfRule type="cellIs" dxfId="70" priority="517" operator="equal">
      <formula>0</formula>
    </cfRule>
  </conditionalFormatting>
  <conditionalFormatting sqref="CN2:DC38">
    <cfRule type="cellIs" dxfId="69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T39 U39:AB39 AP39:AV39 AD39:AN39 AO39 AZ39:BD39 BU39 BV39:BW39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3CDB-6F98-4454-9662-E94C07C41AAA}">
  <dimension ref="A1:E101"/>
  <sheetViews>
    <sheetView workbookViewId="0">
      <pane ySplit="3" topLeftCell="A7" activePane="bottomLeft" state="frozen"/>
      <selection pane="bottomLeft" activeCell="D23" sqref="D23"/>
    </sheetView>
  </sheetViews>
  <sheetFormatPr defaultRowHeight="15" x14ac:dyDescent="0.25"/>
  <cols>
    <col min="1" max="1" width="20.85546875" customWidth="1"/>
    <col min="2" max="2" width="14.28515625" customWidth="1"/>
    <col min="3" max="3" width="9.5703125" bestFit="1" customWidth="1"/>
    <col min="4" max="4" width="15.140625" customWidth="1"/>
    <col min="5" max="5" width="18.42578125" customWidth="1"/>
  </cols>
  <sheetData>
    <row r="1" spans="1:5" ht="15.75" thickBot="1" x14ac:dyDescent="0.3">
      <c r="C1" s="574">
        <f>SUM(C3:C100)</f>
        <v>283529</v>
      </c>
      <c r="D1" s="576">
        <f>SUM(D3:D100)</f>
        <v>147854.41999999998</v>
      </c>
      <c r="E1" s="577">
        <f>C1-D1</f>
        <v>135674.58000000002</v>
      </c>
    </row>
    <row r="2" spans="1:5" ht="15.75" thickBot="1" x14ac:dyDescent="0.3">
      <c r="A2" s="578" t="s">
        <v>2</v>
      </c>
      <c r="B2" s="579" t="s">
        <v>1</v>
      </c>
      <c r="C2" s="580" t="s">
        <v>1572</v>
      </c>
      <c r="D2" s="580" t="s">
        <v>1573</v>
      </c>
      <c r="E2" s="575" t="s">
        <v>0</v>
      </c>
    </row>
    <row r="3" spans="1:5" x14ac:dyDescent="0.25">
      <c r="A3" s="581" t="s">
        <v>1563</v>
      </c>
      <c r="B3" s="582">
        <v>45625</v>
      </c>
      <c r="C3" s="583">
        <v>280029</v>
      </c>
      <c r="D3" s="584"/>
    </row>
    <row r="4" spans="1:5" x14ac:dyDescent="0.25">
      <c r="A4" s="585" t="s">
        <v>1564</v>
      </c>
      <c r="B4" s="179">
        <v>45626</v>
      </c>
      <c r="C4" s="15"/>
      <c r="D4" s="138">
        <v>4872</v>
      </c>
    </row>
    <row r="5" spans="1:5" x14ac:dyDescent="0.25">
      <c r="A5" s="585" t="s">
        <v>1466</v>
      </c>
      <c r="B5" s="179">
        <v>45626</v>
      </c>
      <c r="C5" s="15"/>
      <c r="D5" s="138">
        <v>149</v>
      </c>
    </row>
    <row r="6" spans="1:5" x14ac:dyDescent="0.25">
      <c r="A6" s="585" t="s">
        <v>807</v>
      </c>
      <c r="B6" s="179">
        <v>45627</v>
      </c>
      <c r="C6" s="15"/>
      <c r="D6" s="138">
        <v>50000</v>
      </c>
    </row>
    <row r="7" spans="1:5" x14ac:dyDescent="0.25">
      <c r="A7" s="585" t="s">
        <v>1565</v>
      </c>
      <c r="B7" s="179">
        <v>45627</v>
      </c>
      <c r="C7" s="15"/>
      <c r="D7" s="138">
        <v>300</v>
      </c>
    </row>
    <row r="8" spans="1:5" x14ac:dyDescent="0.25">
      <c r="A8" s="585" t="s">
        <v>1566</v>
      </c>
      <c r="B8" s="179">
        <v>45628</v>
      </c>
      <c r="C8" s="15"/>
      <c r="D8" s="138">
        <v>7183</v>
      </c>
    </row>
    <row r="9" spans="1:5" x14ac:dyDescent="0.25">
      <c r="A9" s="585" t="s">
        <v>1567</v>
      </c>
      <c r="B9" s="179">
        <v>45628</v>
      </c>
      <c r="C9" s="15"/>
      <c r="D9" s="138">
        <v>27654.42</v>
      </c>
    </row>
    <row r="10" spans="1:5" x14ac:dyDescent="0.25">
      <c r="A10" s="585" t="s">
        <v>343</v>
      </c>
      <c r="B10" s="179">
        <v>45628</v>
      </c>
      <c r="C10" s="15"/>
      <c r="D10" s="138">
        <v>500</v>
      </c>
    </row>
    <row r="11" spans="1:5" x14ac:dyDescent="0.25">
      <c r="A11" s="585" t="s">
        <v>1551</v>
      </c>
      <c r="B11" s="179">
        <v>45628</v>
      </c>
      <c r="C11" s="15"/>
      <c r="D11" s="138">
        <v>6000</v>
      </c>
    </row>
    <row r="12" spans="1:5" x14ac:dyDescent="0.25">
      <c r="A12" s="585" t="s">
        <v>1568</v>
      </c>
      <c r="B12" s="179">
        <v>45627</v>
      </c>
      <c r="C12" s="15"/>
      <c r="D12" s="138">
        <v>70</v>
      </c>
    </row>
    <row r="13" spans="1:5" x14ac:dyDescent="0.25">
      <c r="A13" s="585" t="s">
        <v>1570</v>
      </c>
      <c r="B13" s="179">
        <v>45628</v>
      </c>
      <c r="C13" s="15"/>
      <c r="D13" s="138">
        <v>4750</v>
      </c>
    </row>
    <row r="14" spans="1:5" x14ac:dyDescent="0.25">
      <c r="A14" s="585" t="s">
        <v>1571</v>
      </c>
      <c r="B14" s="179">
        <v>45628</v>
      </c>
      <c r="C14" s="15"/>
      <c r="D14" s="138">
        <v>3276</v>
      </c>
    </row>
    <row r="15" spans="1:5" x14ac:dyDescent="0.25">
      <c r="A15" s="585" t="s">
        <v>1574</v>
      </c>
      <c r="B15" s="179">
        <v>45628</v>
      </c>
      <c r="C15" s="15"/>
      <c r="D15" s="138">
        <v>2500</v>
      </c>
      <c r="E15">
        <v>9</v>
      </c>
    </row>
    <row r="16" spans="1:5" x14ac:dyDescent="0.25">
      <c r="A16" s="585" t="s">
        <v>1575</v>
      </c>
      <c r="B16" s="179">
        <v>45628</v>
      </c>
      <c r="C16" s="15">
        <v>3500</v>
      </c>
      <c r="D16" s="138"/>
    </row>
    <row r="17" spans="1:4" x14ac:dyDescent="0.25">
      <c r="A17" s="585" t="s">
        <v>1576</v>
      </c>
      <c r="B17" s="179">
        <v>45633</v>
      </c>
      <c r="C17" s="15"/>
      <c r="D17" s="138">
        <v>17300</v>
      </c>
    </row>
    <row r="18" spans="1:4" x14ac:dyDescent="0.25">
      <c r="A18" s="585" t="s">
        <v>1577</v>
      </c>
      <c r="B18" s="179">
        <v>45633</v>
      </c>
      <c r="C18" s="15"/>
      <c r="D18" s="138">
        <v>17300</v>
      </c>
    </row>
    <row r="19" spans="1:4" x14ac:dyDescent="0.25">
      <c r="A19" s="585" t="s">
        <v>1578</v>
      </c>
      <c r="B19" s="179">
        <v>45628</v>
      </c>
      <c r="C19" s="15"/>
      <c r="D19" s="138">
        <v>6000</v>
      </c>
    </row>
    <row r="20" spans="1:4" x14ac:dyDescent="0.25">
      <c r="A20" s="585"/>
      <c r="B20" s="1"/>
      <c r="C20" s="15"/>
      <c r="D20" s="138"/>
    </row>
    <row r="21" spans="1:4" x14ac:dyDescent="0.25">
      <c r="A21" s="585"/>
      <c r="B21" s="1"/>
      <c r="C21" s="15"/>
      <c r="D21" s="138"/>
    </row>
    <row r="22" spans="1:4" x14ac:dyDescent="0.25">
      <c r="A22" s="585"/>
      <c r="B22" s="1"/>
      <c r="C22" s="15"/>
      <c r="D22" s="138"/>
    </row>
    <row r="23" spans="1:4" x14ac:dyDescent="0.25">
      <c r="A23" s="585"/>
      <c r="B23" s="1"/>
      <c r="C23" s="15"/>
      <c r="D23" s="138"/>
    </row>
    <row r="24" spans="1:4" x14ac:dyDescent="0.25">
      <c r="A24" s="585"/>
      <c r="B24" s="1"/>
      <c r="C24" s="15"/>
      <c r="D24" s="138"/>
    </row>
    <row r="25" spans="1:4" x14ac:dyDescent="0.25">
      <c r="A25" s="585"/>
      <c r="B25" s="1"/>
      <c r="C25" s="15"/>
      <c r="D25" s="138"/>
    </row>
    <row r="26" spans="1:4" x14ac:dyDescent="0.25">
      <c r="A26" s="585"/>
      <c r="B26" s="1"/>
      <c r="C26" s="15"/>
      <c r="D26" s="138"/>
    </row>
    <row r="27" spans="1:4" x14ac:dyDescent="0.25">
      <c r="A27" s="585"/>
      <c r="B27" s="1"/>
      <c r="C27" s="15"/>
      <c r="D27" s="138"/>
    </row>
    <row r="28" spans="1:4" x14ac:dyDescent="0.25">
      <c r="A28" s="585"/>
      <c r="B28" s="1"/>
      <c r="C28" s="15"/>
      <c r="D28" s="138"/>
    </row>
    <row r="29" spans="1:4" x14ac:dyDescent="0.25">
      <c r="A29" s="585"/>
      <c r="B29" s="1"/>
      <c r="C29" s="15"/>
      <c r="D29" s="138"/>
    </row>
    <row r="30" spans="1:4" x14ac:dyDescent="0.25">
      <c r="A30" s="585"/>
      <c r="B30" s="1"/>
      <c r="C30" s="15"/>
      <c r="D30" s="138"/>
    </row>
    <row r="31" spans="1:4" x14ac:dyDescent="0.25">
      <c r="A31" s="585"/>
      <c r="B31" s="1"/>
      <c r="C31" s="15"/>
      <c r="D31" s="138"/>
    </row>
    <row r="32" spans="1:4" x14ac:dyDescent="0.25">
      <c r="A32" s="585"/>
      <c r="B32" s="1"/>
      <c r="C32" s="15"/>
      <c r="D32" s="138"/>
    </row>
    <row r="33" spans="1:4" x14ac:dyDescent="0.25">
      <c r="A33" s="585"/>
      <c r="B33" s="1"/>
      <c r="C33" s="15"/>
      <c r="D33" s="138"/>
    </row>
    <row r="34" spans="1:4" x14ac:dyDescent="0.25">
      <c r="A34" s="585"/>
      <c r="B34" s="1"/>
      <c r="C34" s="15"/>
      <c r="D34" s="138"/>
    </row>
    <row r="35" spans="1:4" x14ac:dyDescent="0.25">
      <c r="A35" s="585"/>
      <c r="B35" s="1"/>
      <c r="C35" s="15"/>
      <c r="D35" s="138"/>
    </row>
    <row r="36" spans="1:4" x14ac:dyDescent="0.25">
      <c r="A36" s="585"/>
      <c r="B36" s="1"/>
      <c r="C36" s="15"/>
      <c r="D36" s="138"/>
    </row>
    <row r="37" spans="1:4" x14ac:dyDescent="0.25">
      <c r="A37" s="585"/>
      <c r="B37" s="1"/>
      <c r="C37" s="15"/>
      <c r="D37" s="138"/>
    </row>
    <row r="38" spans="1:4" x14ac:dyDescent="0.25">
      <c r="A38" s="585"/>
      <c r="B38" s="1"/>
      <c r="C38" s="15"/>
      <c r="D38" s="138"/>
    </row>
    <row r="39" spans="1:4" x14ac:dyDescent="0.25">
      <c r="A39" s="585"/>
      <c r="B39" s="1"/>
      <c r="C39" s="15"/>
      <c r="D39" s="138"/>
    </row>
    <row r="40" spans="1:4" x14ac:dyDescent="0.25">
      <c r="A40" s="585"/>
      <c r="B40" s="1"/>
      <c r="C40" s="15"/>
      <c r="D40" s="138"/>
    </row>
    <row r="41" spans="1:4" x14ac:dyDescent="0.25">
      <c r="A41" s="585"/>
      <c r="B41" s="1"/>
      <c r="C41" s="15"/>
      <c r="D41" s="138"/>
    </row>
    <row r="42" spans="1:4" x14ac:dyDescent="0.25">
      <c r="A42" s="585"/>
      <c r="B42" s="1"/>
      <c r="C42" s="15"/>
      <c r="D42" s="138"/>
    </row>
    <row r="43" spans="1:4" x14ac:dyDescent="0.25">
      <c r="A43" s="585"/>
      <c r="B43" s="1"/>
      <c r="C43" s="15"/>
      <c r="D43" s="138"/>
    </row>
    <row r="44" spans="1:4" x14ac:dyDescent="0.25">
      <c r="A44" s="585"/>
      <c r="B44" s="1"/>
      <c r="C44" s="15"/>
      <c r="D44" s="138"/>
    </row>
    <row r="45" spans="1:4" x14ac:dyDescent="0.25">
      <c r="A45" s="585"/>
      <c r="B45" s="1"/>
      <c r="C45" s="15"/>
      <c r="D45" s="138"/>
    </row>
    <row r="46" spans="1:4" x14ac:dyDescent="0.25">
      <c r="A46" s="585"/>
      <c r="B46" s="1"/>
      <c r="C46" s="15"/>
      <c r="D46" s="138"/>
    </row>
    <row r="47" spans="1:4" x14ac:dyDescent="0.25">
      <c r="A47" s="585"/>
      <c r="B47" s="1"/>
      <c r="C47" s="15"/>
      <c r="D47" s="138"/>
    </row>
    <row r="48" spans="1:4" x14ac:dyDescent="0.25">
      <c r="A48" s="585"/>
      <c r="B48" s="1"/>
      <c r="C48" s="15"/>
      <c r="D48" s="138"/>
    </row>
    <row r="49" spans="1:4" x14ac:dyDescent="0.25">
      <c r="A49" s="585"/>
      <c r="B49" s="1"/>
      <c r="C49" s="15"/>
      <c r="D49" s="138"/>
    </row>
    <row r="50" spans="1:4" x14ac:dyDescent="0.25">
      <c r="A50" s="585"/>
      <c r="B50" s="1"/>
      <c r="C50" s="15"/>
      <c r="D50" s="138"/>
    </row>
    <row r="51" spans="1:4" x14ac:dyDescent="0.25">
      <c r="A51" s="585"/>
      <c r="B51" s="1"/>
      <c r="C51" s="15"/>
      <c r="D51" s="138"/>
    </row>
    <row r="52" spans="1:4" x14ac:dyDescent="0.25">
      <c r="A52" s="585"/>
      <c r="B52" s="1"/>
      <c r="C52" s="15"/>
      <c r="D52" s="138"/>
    </row>
    <row r="53" spans="1:4" x14ac:dyDescent="0.25">
      <c r="A53" s="585"/>
      <c r="B53" s="1"/>
      <c r="C53" s="15"/>
      <c r="D53" s="138"/>
    </row>
    <row r="54" spans="1:4" x14ac:dyDescent="0.25">
      <c r="A54" s="585"/>
      <c r="B54" s="1"/>
      <c r="C54" s="15"/>
      <c r="D54" s="138"/>
    </row>
    <row r="55" spans="1:4" x14ac:dyDescent="0.25">
      <c r="A55" s="585"/>
      <c r="B55" s="1"/>
      <c r="C55" s="15"/>
      <c r="D55" s="138"/>
    </row>
    <row r="56" spans="1:4" x14ac:dyDescent="0.25">
      <c r="A56" s="585"/>
      <c r="B56" s="1"/>
      <c r="C56" s="15"/>
      <c r="D56" s="138"/>
    </row>
    <row r="57" spans="1:4" x14ac:dyDescent="0.25">
      <c r="A57" s="585"/>
      <c r="B57" s="1"/>
      <c r="C57" s="15"/>
      <c r="D57" s="138"/>
    </row>
    <row r="58" spans="1:4" x14ac:dyDescent="0.25">
      <c r="A58" s="585"/>
      <c r="B58" s="1"/>
      <c r="C58" s="15"/>
      <c r="D58" s="138"/>
    </row>
    <row r="59" spans="1:4" x14ac:dyDescent="0.25">
      <c r="A59" s="585"/>
      <c r="B59" s="1"/>
      <c r="C59" s="15"/>
      <c r="D59" s="138"/>
    </row>
    <row r="60" spans="1:4" x14ac:dyDescent="0.25">
      <c r="A60" s="585"/>
      <c r="B60" s="1"/>
      <c r="C60" s="15"/>
      <c r="D60" s="138"/>
    </row>
    <row r="61" spans="1:4" x14ac:dyDescent="0.25">
      <c r="A61" s="585"/>
      <c r="B61" s="1"/>
      <c r="C61" s="15"/>
      <c r="D61" s="138"/>
    </row>
    <row r="62" spans="1:4" x14ac:dyDescent="0.25">
      <c r="A62" s="585"/>
      <c r="B62" s="1"/>
      <c r="C62" s="15"/>
      <c r="D62" s="138"/>
    </row>
    <row r="63" spans="1:4" x14ac:dyDescent="0.25">
      <c r="A63" s="585"/>
      <c r="B63" s="1"/>
      <c r="C63" s="15"/>
      <c r="D63" s="138"/>
    </row>
    <row r="64" spans="1:4" x14ac:dyDescent="0.25">
      <c r="A64" s="585"/>
      <c r="B64" s="1"/>
      <c r="C64" s="15"/>
      <c r="D64" s="138"/>
    </row>
    <row r="65" spans="1:4" x14ac:dyDescent="0.25">
      <c r="A65" s="585"/>
      <c r="B65" s="1"/>
      <c r="C65" s="15"/>
      <c r="D65" s="138"/>
    </row>
    <row r="66" spans="1:4" x14ac:dyDescent="0.25">
      <c r="A66" s="585"/>
      <c r="B66" s="1"/>
      <c r="C66" s="15"/>
      <c r="D66" s="138"/>
    </row>
    <row r="67" spans="1:4" x14ac:dyDescent="0.25">
      <c r="A67" s="585"/>
      <c r="B67" s="1"/>
      <c r="C67" s="15"/>
      <c r="D67" s="138"/>
    </row>
    <row r="68" spans="1:4" x14ac:dyDescent="0.25">
      <c r="A68" s="585"/>
      <c r="B68" s="1"/>
      <c r="C68" s="15"/>
      <c r="D68" s="138"/>
    </row>
    <row r="69" spans="1:4" x14ac:dyDescent="0.25">
      <c r="A69" s="585"/>
      <c r="B69" s="1"/>
      <c r="C69" s="15"/>
      <c r="D69" s="138"/>
    </row>
    <row r="70" spans="1:4" x14ac:dyDescent="0.25">
      <c r="A70" s="585"/>
      <c r="B70" s="1"/>
      <c r="C70" s="15"/>
      <c r="D70" s="138"/>
    </row>
    <row r="71" spans="1:4" x14ac:dyDescent="0.25">
      <c r="A71" s="585"/>
      <c r="B71" s="1"/>
      <c r="C71" s="15"/>
      <c r="D71" s="138"/>
    </row>
    <row r="72" spans="1:4" x14ac:dyDescent="0.25">
      <c r="A72" s="585"/>
      <c r="B72" s="1"/>
      <c r="C72" s="15"/>
      <c r="D72" s="138"/>
    </row>
    <row r="73" spans="1:4" x14ac:dyDescent="0.25">
      <c r="A73" s="585"/>
      <c r="B73" s="1"/>
      <c r="C73" s="15"/>
      <c r="D73" s="138"/>
    </row>
    <row r="74" spans="1:4" x14ac:dyDescent="0.25">
      <c r="A74" s="585"/>
      <c r="B74" s="1"/>
      <c r="C74" s="15"/>
      <c r="D74" s="138"/>
    </row>
    <row r="75" spans="1:4" x14ac:dyDescent="0.25">
      <c r="A75" s="585"/>
      <c r="B75" s="1"/>
      <c r="C75" s="15"/>
      <c r="D75" s="138"/>
    </row>
    <row r="76" spans="1:4" x14ac:dyDescent="0.25">
      <c r="A76" s="585"/>
      <c r="B76" s="1"/>
      <c r="C76" s="15"/>
      <c r="D76" s="138"/>
    </row>
    <row r="77" spans="1:4" x14ac:dyDescent="0.25">
      <c r="A77" s="585"/>
      <c r="B77" s="1"/>
      <c r="C77" s="15"/>
      <c r="D77" s="138"/>
    </row>
    <row r="78" spans="1:4" x14ac:dyDescent="0.25">
      <c r="A78" s="585"/>
      <c r="B78" s="1"/>
      <c r="C78" s="15"/>
      <c r="D78" s="138"/>
    </row>
    <row r="79" spans="1:4" x14ac:dyDescent="0.25">
      <c r="A79" s="585"/>
      <c r="B79" s="1"/>
      <c r="C79" s="15"/>
      <c r="D79" s="138"/>
    </row>
    <row r="80" spans="1:4" x14ac:dyDescent="0.25">
      <c r="A80" s="585"/>
      <c r="B80" s="1"/>
      <c r="C80" s="15"/>
      <c r="D80" s="138"/>
    </row>
    <row r="81" spans="1:4" x14ac:dyDescent="0.25">
      <c r="A81" s="585"/>
      <c r="B81" s="1"/>
      <c r="C81" s="15"/>
      <c r="D81" s="138"/>
    </row>
    <row r="82" spans="1:4" x14ac:dyDescent="0.25">
      <c r="A82" s="585"/>
      <c r="B82" s="1"/>
      <c r="C82" s="15"/>
      <c r="D82" s="138"/>
    </row>
    <row r="83" spans="1:4" x14ac:dyDescent="0.25">
      <c r="A83" s="585"/>
      <c r="B83" s="1"/>
      <c r="C83" s="15"/>
      <c r="D83" s="138"/>
    </row>
    <row r="84" spans="1:4" x14ac:dyDescent="0.25">
      <c r="A84" s="585"/>
      <c r="B84" s="1"/>
      <c r="C84" s="15"/>
      <c r="D84" s="138"/>
    </row>
    <row r="85" spans="1:4" x14ac:dyDescent="0.25">
      <c r="A85" s="585"/>
      <c r="B85" s="1"/>
      <c r="C85" s="15"/>
      <c r="D85" s="138"/>
    </row>
    <row r="86" spans="1:4" x14ac:dyDescent="0.25">
      <c r="A86" s="585"/>
      <c r="B86" s="1"/>
      <c r="C86" s="15"/>
      <c r="D86" s="138"/>
    </row>
    <row r="87" spans="1:4" x14ac:dyDescent="0.25">
      <c r="A87" s="585"/>
      <c r="B87" s="1"/>
      <c r="C87" s="15"/>
      <c r="D87" s="138"/>
    </row>
    <row r="88" spans="1:4" x14ac:dyDescent="0.25">
      <c r="A88" s="585"/>
      <c r="B88" s="1"/>
      <c r="C88" s="15"/>
      <c r="D88" s="138"/>
    </row>
    <row r="89" spans="1:4" x14ac:dyDescent="0.25">
      <c r="A89" s="585"/>
      <c r="B89" s="1"/>
      <c r="C89" s="15"/>
      <c r="D89" s="138"/>
    </row>
    <row r="90" spans="1:4" x14ac:dyDescent="0.25">
      <c r="A90" s="585"/>
      <c r="B90" s="1"/>
      <c r="C90" s="15"/>
      <c r="D90" s="138"/>
    </row>
    <row r="91" spans="1:4" x14ac:dyDescent="0.25">
      <c r="A91" s="585"/>
      <c r="B91" s="1"/>
      <c r="C91" s="15"/>
      <c r="D91" s="138"/>
    </row>
    <row r="92" spans="1:4" x14ac:dyDescent="0.25">
      <c r="A92" s="585"/>
      <c r="B92" s="1"/>
      <c r="C92" s="15"/>
      <c r="D92" s="138"/>
    </row>
    <row r="93" spans="1:4" x14ac:dyDescent="0.25">
      <c r="A93" s="585"/>
      <c r="B93" s="1"/>
      <c r="C93" s="15"/>
      <c r="D93" s="138"/>
    </row>
    <row r="94" spans="1:4" x14ac:dyDescent="0.25">
      <c r="A94" s="585"/>
      <c r="B94" s="1"/>
      <c r="C94" s="15"/>
      <c r="D94" s="138"/>
    </row>
    <row r="95" spans="1:4" x14ac:dyDescent="0.25">
      <c r="A95" s="585"/>
      <c r="B95" s="1"/>
      <c r="C95" s="15"/>
      <c r="D95" s="138"/>
    </row>
    <row r="96" spans="1:4" x14ac:dyDescent="0.25">
      <c r="A96" s="585"/>
      <c r="B96" s="1"/>
      <c r="C96" s="15"/>
      <c r="D96" s="138"/>
    </row>
    <row r="97" spans="1:4" x14ac:dyDescent="0.25">
      <c r="A97" s="585"/>
      <c r="B97" s="1"/>
      <c r="C97" s="15"/>
      <c r="D97" s="138"/>
    </row>
    <row r="98" spans="1:4" x14ac:dyDescent="0.25">
      <c r="A98" s="585"/>
      <c r="B98" s="1"/>
      <c r="C98" s="15"/>
      <c r="D98" s="138"/>
    </row>
    <row r="99" spans="1:4" x14ac:dyDescent="0.25">
      <c r="A99" s="585"/>
      <c r="B99" s="1"/>
      <c r="C99" s="15"/>
      <c r="D99" s="138"/>
    </row>
    <row r="100" spans="1:4" ht="15.75" thickBot="1" x14ac:dyDescent="0.3">
      <c r="A100" s="571"/>
      <c r="B100" s="573"/>
      <c r="C100" s="572"/>
      <c r="D100" s="141"/>
    </row>
    <row r="101" spans="1:4" x14ac:dyDescent="0.25">
      <c r="C10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Charts</vt:lpstr>
      </vt:variant>
      <vt:variant>
        <vt:i4>1</vt:i4>
      </vt:variant>
    </vt:vector>
  </HeadingPairs>
  <TitlesOfParts>
    <vt:vector size="57" baseType="lpstr">
      <vt:lpstr>Dues From 13-Oct-17</vt:lpstr>
      <vt:lpstr>New vs Old Tax Regime</vt:lpstr>
      <vt:lpstr>Rent 302</vt:lpstr>
      <vt:lpstr>Zerodha</vt:lpstr>
      <vt:lpstr>Sheet3</vt:lpstr>
      <vt:lpstr>UpStox</vt:lpstr>
      <vt:lpstr>MyCards</vt:lpstr>
      <vt:lpstr>Dues</vt:lpstr>
      <vt:lpstr>Hisaab</vt:lpstr>
      <vt:lpstr>Dues Analysis</vt:lpstr>
      <vt:lpstr>MAB</vt:lpstr>
      <vt:lpstr>NPS</vt:lpstr>
      <vt:lpstr>My CCs</vt:lpstr>
      <vt:lpstr>Tax 24-25</vt:lpstr>
      <vt:lpstr>ICICI OD</vt:lpstr>
      <vt:lpstr>Narendra</vt:lpstr>
      <vt:lpstr>US Bills</vt:lpstr>
      <vt:lpstr>US Spends</vt:lpstr>
      <vt:lpstr>08-Oct-23</vt:lpstr>
      <vt:lpstr>Gold Loan</vt:lpstr>
      <vt:lpstr>GL-Diva-01</vt:lpstr>
      <vt:lpstr>GL-Diva-02</vt:lpstr>
      <vt:lpstr>GL-Bhargu-01</vt:lpstr>
      <vt:lpstr>GL-Bhargu-02</vt:lpstr>
      <vt:lpstr>GL-GSRam-01</vt:lpstr>
      <vt:lpstr>Princ Outstandings</vt:lpstr>
      <vt:lpstr>Kotak LI</vt:lpstr>
      <vt:lpstr>Kids</vt:lpstr>
      <vt:lpstr>Bajaj-Fin</vt:lpstr>
      <vt:lpstr>Upstox-Zerodha</vt:lpstr>
      <vt:lpstr>Cred Cashbacks</vt:lpstr>
      <vt:lpstr>CardPayments</vt:lpstr>
      <vt:lpstr>Debts</vt:lpstr>
      <vt:lpstr>Passwords</vt:lpstr>
      <vt:lpstr>Sal</vt:lpstr>
      <vt:lpstr>HL</vt:lpstr>
      <vt:lpstr>DevOps Course</vt:lpstr>
      <vt:lpstr>TrustAlgo</vt:lpstr>
      <vt:lpstr>Zen Salary</vt:lpstr>
      <vt:lpstr>Demat+Investments</vt:lpstr>
      <vt:lpstr>ICICI CC Loan</vt:lpstr>
      <vt:lpstr>Citi 6.3 Loan</vt:lpstr>
      <vt:lpstr>Policies</vt:lpstr>
      <vt:lpstr>Car Loan</vt:lpstr>
      <vt:lpstr>My PLs</vt:lpstr>
      <vt:lpstr>My Total Dues (PLs)</vt:lpstr>
      <vt:lpstr>PayStructure</vt:lpstr>
      <vt:lpstr>Nonu 1st Birthday</vt:lpstr>
      <vt:lpstr>HDFC-2014 PL</vt:lpstr>
      <vt:lpstr>My PLs OLD</vt:lpstr>
      <vt:lpstr>For Work at Flat</vt:lpstr>
      <vt:lpstr>Land</vt:lpstr>
      <vt:lpstr>Sheet1</vt:lpstr>
      <vt:lpstr>Loans</vt:lpstr>
      <vt:lpstr>Sheet2</vt:lpstr>
      <vt:lpstr>PF</vt:lpstr>
      <vt:lpstr>Chart1</vt:lpstr>
    </vt:vector>
  </TitlesOfParts>
  <Manager/>
  <Company>Union Bank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Divakar Kadupu</dc:creator>
  <cp:keywords/>
  <dc:description/>
  <cp:lastModifiedBy>Divakar Kadupu</cp:lastModifiedBy>
  <cp:revision/>
  <dcterms:created xsi:type="dcterms:W3CDTF">2015-12-01T12:38:11Z</dcterms:created>
  <dcterms:modified xsi:type="dcterms:W3CDTF">2024-12-03T14:59:05Z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