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vyanshi/Downloads/"/>
    </mc:Choice>
  </mc:AlternateContent>
  <xr:revisionPtr revIDLastSave="0" documentId="13_ncr:1_{66AFF43C-EBA5-4442-8074-94BF77B926C2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Setup" sheetId="1" r:id="rId1"/>
    <sheet name="CIR" sheetId="2" r:id="rId2"/>
    <sheet name="Projection" sheetId="3" r:id="rId3"/>
    <sheet name="Discount" sheetId="4" r:id="rId4"/>
    <sheet name="PV" sheetId="5" r:id="rId5"/>
    <sheet name="CSM" sheetId="6" r:id="rId6"/>
  </sheets>
  <definedNames>
    <definedName name="ACQ">Setup!$B$12</definedName>
    <definedName name="CLAIMS_INC">Projection!$H$3:$H$13</definedName>
    <definedName name="CLAIMS_PAID">Projection!$I$3:$I$13</definedName>
    <definedName name="COHORT">Setup!$B$4</definedName>
    <definedName name="COMM_PCT">Setup!$B$13</definedName>
    <definedName name="CU">Projection!$F$3:$F$13</definedName>
    <definedName name="DF_BASE">Discount!$C$4:$C$14</definedName>
    <definedName name="DF_STRESS">Discount!$E$4:$E$14</definedName>
    <definedName name="EXP">Setup!$B$11</definedName>
    <definedName name="EXP_SER">Projection!$J$3:$J$13</definedName>
    <definedName name="INFL">Setup!$B$14</definedName>
    <definedName name="KAPPA">Setup!$E$4</definedName>
    <definedName name="LAPSE">Setup!$B$10</definedName>
    <definedName name="LOCKIN">Setup!$E$9</definedName>
    <definedName name="PREM">Setup!$B$6</definedName>
    <definedName name="PREM_SER">Projection!$G$3:$G$13</definedName>
    <definedName name="QX">Setup!$B$9</definedName>
    <definedName name="R_BASE">CIR!$B$4:$B$14</definedName>
    <definedName name="R_STRESS">CIR!$C$4:$C$14</definedName>
    <definedName name="RA_PCT">Setup!$B$15</definedName>
    <definedName name="SIGMA">Setup!$E$6</definedName>
    <definedName name="STRESS_BP">Setup!$E$8</definedName>
    <definedName name="SUMINS">Setup!$B$5</definedName>
    <definedName name="TERM">Setup!$B$7</definedName>
    <definedName name="THETA">Setup!$E$5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G5" i="6"/>
  <c r="F5" i="6"/>
  <c r="E5" i="6"/>
  <c r="G15" i="5"/>
  <c r="F4" i="6"/>
  <c r="G4" i="6" s="1"/>
  <c r="H4" i="6" s="1"/>
  <c r="I5" i="3"/>
  <c r="I6" i="3"/>
  <c r="I7" i="3"/>
  <c r="I8" i="3"/>
  <c r="I9" i="3"/>
  <c r="I10" i="3"/>
  <c r="I11" i="3"/>
  <c r="I12" i="3"/>
  <c r="I13" i="3"/>
  <c r="I4" i="3"/>
  <c r="D5" i="5" s="1"/>
  <c r="E5" i="5" s="1"/>
  <c r="I5" i="5" s="1"/>
  <c r="C7" i="6"/>
  <c r="C6" i="6"/>
  <c r="C5" i="6"/>
  <c r="C8" i="6"/>
  <c r="C9" i="6"/>
  <c r="C10" i="6"/>
  <c r="C11" i="6"/>
  <c r="C12" i="6"/>
  <c r="C13" i="6"/>
  <c r="C14" i="6"/>
  <c r="C4" i="6"/>
  <c r="D11" i="6" s="1"/>
  <c r="B6" i="4"/>
  <c r="B5" i="5"/>
  <c r="B6" i="5"/>
  <c r="B7" i="5"/>
  <c r="B8" i="5"/>
  <c r="B9" i="5"/>
  <c r="B10" i="5"/>
  <c r="B11" i="5"/>
  <c r="B12" i="5"/>
  <c r="B13" i="5"/>
  <c r="B14" i="5"/>
  <c r="C5" i="4"/>
  <c r="E5" i="4"/>
  <c r="E6" i="4"/>
  <c r="E7" i="4"/>
  <c r="E8" i="4" s="1"/>
  <c r="E9" i="4" s="1"/>
  <c r="E10" i="4" s="1"/>
  <c r="E11" i="4" s="1"/>
  <c r="E12" i="4" s="1"/>
  <c r="E13" i="4" s="1"/>
  <c r="E14" i="4" s="1"/>
  <c r="C6" i="4"/>
  <c r="C7" i="4" s="1"/>
  <c r="C8" i="4" s="1"/>
  <c r="C9" i="4" s="1"/>
  <c r="C10" i="4" s="1"/>
  <c r="C11" i="4" s="1"/>
  <c r="C12" i="4" s="1"/>
  <c r="C13" i="4" s="1"/>
  <c r="C14" i="4" s="1"/>
  <c r="D4" i="4"/>
  <c r="H5" i="5" s="1"/>
  <c r="B4" i="4"/>
  <c r="J4" i="3"/>
  <c r="J3" i="3"/>
  <c r="J5" i="3"/>
  <c r="J6" i="3"/>
  <c r="J7" i="3"/>
  <c r="J8" i="3"/>
  <c r="J9" i="3"/>
  <c r="J10" i="3"/>
  <c r="J11" i="3"/>
  <c r="J12" i="3"/>
  <c r="J13" i="3"/>
  <c r="H4" i="3"/>
  <c r="H5" i="3"/>
  <c r="H6" i="3"/>
  <c r="H7" i="3"/>
  <c r="H8" i="3"/>
  <c r="H9" i="3"/>
  <c r="H10" i="3"/>
  <c r="H11" i="3"/>
  <c r="H12" i="3"/>
  <c r="H13" i="3"/>
  <c r="G4" i="3"/>
  <c r="G5" i="3"/>
  <c r="G6" i="3"/>
  <c r="G7" i="3"/>
  <c r="G8" i="3"/>
  <c r="G9" i="3"/>
  <c r="G10" i="3"/>
  <c r="G11" i="3"/>
  <c r="G12" i="3"/>
  <c r="G13" i="3"/>
  <c r="G3" i="3"/>
  <c r="H3" i="3"/>
  <c r="F4" i="3"/>
  <c r="F5" i="3"/>
  <c r="F6" i="3"/>
  <c r="F7" i="3"/>
  <c r="F8" i="3"/>
  <c r="F9" i="3"/>
  <c r="F10" i="3"/>
  <c r="F11" i="3"/>
  <c r="F12" i="3"/>
  <c r="F13" i="3"/>
  <c r="F3" i="3"/>
  <c r="E12" i="3"/>
  <c r="E4" i="3"/>
  <c r="E3" i="3"/>
  <c r="D4" i="3"/>
  <c r="C4" i="3"/>
  <c r="C3" i="3"/>
  <c r="D3" i="3"/>
  <c r="B4" i="3"/>
  <c r="D6" i="5"/>
  <c r="E6" i="5" s="1"/>
  <c r="I6" i="5" s="1"/>
  <c r="C6" i="2"/>
  <c r="C4" i="2"/>
  <c r="B5" i="2"/>
  <c r="H4" i="5"/>
  <c r="F4" i="5"/>
  <c r="D4" i="5"/>
  <c r="E4" i="5" s="1"/>
  <c r="I4" i="5" s="1"/>
  <c r="C4" i="5"/>
  <c r="B4" i="5"/>
  <c r="D7" i="5"/>
  <c r="E7" i="5" s="1"/>
  <c r="I7" i="5" s="1"/>
  <c r="B3" i="3"/>
  <c r="C5" i="5" s="1"/>
  <c r="C5" i="2"/>
  <c r="E9" i="1"/>
  <c r="D10" i="6" l="1"/>
  <c r="D9" i="6"/>
  <c r="D8" i="6"/>
  <c r="D4" i="6"/>
  <c r="D7" i="6"/>
  <c r="D14" i="6"/>
  <c r="D6" i="6"/>
  <c r="D13" i="6"/>
  <c r="D5" i="6"/>
  <c r="D12" i="6"/>
  <c r="G4" i="5"/>
  <c r="D8" i="5"/>
  <c r="E8" i="5" s="1"/>
  <c r="I8" i="5" s="1"/>
  <c r="F6" i="5"/>
  <c r="G6" i="5" s="1"/>
  <c r="D5" i="4"/>
  <c r="B5" i="3"/>
  <c r="C6" i="5"/>
  <c r="E6" i="6" l="1"/>
  <c r="D5" i="3"/>
  <c r="D9" i="5" s="1"/>
  <c r="E9" i="5" s="1"/>
  <c r="I9" i="5" s="1"/>
  <c r="C5" i="3"/>
  <c r="E5" i="3" s="1"/>
  <c r="H7" i="5"/>
  <c r="H6" i="5"/>
  <c r="D6" i="4"/>
  <c r="C7" i="2"/>
  <c r="B6" i="2"/>
  <c r="B5" i="4"/>
  <c r="C7" i="5"/>
  <c r="F6" i="6" l="1"/>
  <c r="G6" i="6" s="1"/>
  <c r="B6" i="3"/>
  <c r="C8" i="5"/>
  <c r="B7" i="2"/>
  <c r="C8" i="2"/>
  <c r="D7" i="4"/>
  <c r="H8" i="5"/>
  <c r="H6" i="6" l="1"/>
  <c r="E7" i="6"/>
  <c r="D6" i="3"/>
  <c r="D10" i="5" s="1"/>
  <c r="E10" i="5" s="1"/>
  <c r="I10" i="5" s="1"/>
  <c r="C6" i="3"/>
  <c r="E6" i="3" s="1"/>
  <c r="D8" i="4"/>
  <c r="C9" i="2"/>
  <c r="B8" i="2"/>
  <c r="B7" i="4"/>
  <c r="H9" i="5"/>
  <c r="F8" i="5"/>
  <c r="G8" i="5" s="1"/>
  <c r="F7" i="6" l="1"/>
  <c r="G7" i="6" s="1"/>
  <c r="B7" i="3"/>
  <c r="C10" i="2"/>
  <c r="D9" i="4"/>
  <c r="H10" i="5"/>
  <c r="B8" i="4"/>
  <c r="B9" i="2"/>
  <c r="H7" i="6" l="1"/>
  <c r="E8" i="6" s="1"/>
  <c r="D7" i="3"/>
  <c r="D11" i="5" s="1"/>
  <c r="E11" i="5" s="1"/>
  <c r="I11" i="5" s="1"/>
  <c r="C7" i="3"/>
  <c r="E7" i="3" s="1"/>
  <c r="C9" i="5"/>
  <c r="B10" i="2"/>
  <c r="B9" i="4"/>
  <c r="F10" i="5"/>
  <c r="G10" i="5" s="1"/>
  <c r="H11" i="5"/>
  <c r="C11" i="2"/>
  <c r="D10" i="4"/>
  <c r="F8" i="6" l="1"/>
  <c r="G8" i="6" s="1"/>
  <c r="B8" i="3"/>
  <c r="H12" i="5"/>
  <c r="C12" i="2"/>
  <c r="D11" i="4"/>
  <c r="H13" i="5" s="1"/>
  <c r="B10" i="4"/>
  <c r="B11" i="2"/>
  <c r="H8" i="6" l="1"/>
  <c r="E9" i="6" s="1"/>
  <c r="F9" i="6"/>
  <c r="G9" i="6" s="1"/>
  <c r="D8" i="3"/>
  <c r="D12" i="5" s="1"/>
  <c r="E12" i="5" s="1"/>
  <c r="I12" i="5" s="1"/>
  <c r="C8" i="3"/>
  <c r="E8" i="3" s="1"/>
  <c r="C10" i="5"/>
  <c r="F12" i="5"/>
  <c r="G12" i="5" s="1"/>
  <c r="D12" i="4"/>
  <c r="H14" i="5" s="1"/>
  <c r="C13" i="2"/>
  <c r="B12" i="2"/>
  <c r="B11" i="4"/>
  <c r="H9" i="6" l="1"/>
  <c r="E10" i="6" s="1"/>
  <c r="B9" i="3"/>
  <c r="B12" i="4"/>
  <c r="F14" i="5" s="1"/>
  <c r="B13" i="2"/>
  <c r="C14" i="2"/>
  <c r="D14" i="4" s="1"/>
  <c r="D13" i="4"/>
  <c r="F10" i="6" l="1"/>
  <c r="D9" i="3"/>
  <c r="D13" i="5" s="1"/>
  <c r="E13" i="5" s="1"/>
  <c r="I13" i="5" s="1"/>
  <c r="C9" i="3"/>
  <c r="E9" i="3" s="1"/>
  <c r="C11" i="5"/>
  <c r="B14" i="2"/>
  <c r="B14" i="4" s="1"/>
  <c r="B13" i="4"/>
  <c r="G10" i="6" l="1"/>
  <c r="H10" i="6" s="1"/>
  <c r="E11" i="6" s="1"/>
  <c r="B10" i="3"/>
  <c r="F11" i="6" l="1"/>
  <c r="D10" i="3"/>
  <c r="D14" i="5" s="1"/>
  <c r="E14" i="5" s="1"/>
  <c r="C10" i="3"/>
  <c r="E10" i="3" s="1"/>
  <c r="C12" i="5"/>
  <c r="G11" i="6" l="1"/>
  <c r="H11" i="6" s="1"/>
  <c r="E12" i="6" s="1"/>
  <c r="I14" i="5"/>
  <c r="G14" i="5"/>
  <c r="B11" i="3"/>
  <c r="F12" i="6" l="1"/>
  <c r="G12" i="6" s="1"/>
  <c r="D11" i="3"/>
  <c r="C11" i="3"/>
  <c r="E11" i="3" s="1"/>
  <c r="C13" i="5"/>
  <c r="H12" i="6" l="1"/>
  <c r="E13" i="6" s="1"/>
  <c r="B12" i="3"/>
  <c r="F13" i="6" l="1"/>
  <c r="C12" i="3"/>
  <c r="D12" i="3"/>
  <c r="C14" i="5"/>
  <c r="G13" i="6" l="1"/>
  <c r="H13" i="6" s="1"/>
  <c r="E14" i="6" s="1"/>
  <c r="B13" i="3"/>
  <c r="F14" i="6" l="1"/>
  <c r="H14" i="6" s="1"/>
  <c r="G14" i="6"/>
  <c r="D13" i="3"/>
  <c r="C13" i="3"/>
  <c r="E13" i="3" s="1"/>
  <c r="F7" i="5"/>
  <c r="G7" i="5" s="1"/>
  <c r="F5" i="5"/>
  <c r="G5" i="5" s="1"/>
  <c r="F9" i="5" l="1"/>
  <c r="G9" i="5" s="1"/>
  <c r="F11" i="5" l="1"/>
  <c r="G11" i="5" s="1"/>
  <c r="F13" i="5"/>
  <c r="G13" i="5" s="1"/>
</calcChain>
</file>

<file path=xl/sharedStrings.xml><?xml version="1.0" encoding="utf-8"?>
<sst xmlns="http://schemas.openxmlformats.org/spreadsheetml/2006/main" count="68" uniqueCount="57">
  <si>
    <t>Currency</t>
  </si>
  <si>
    <t>GBP</t>
  </si>
  <si>
    <t>Number of policies in cohort</t>
  </si>
  <si>
    <t>Sum assured per policy</t>
  </si>
  <si>
    <t>Annual gross premium per policy</t>
  </si>
  <si>
    <t>Term (years)</t>
  </si>
  <si>
    <t>Issue age (not used)</t>
  </si>
  <si>
    <t>Mortality rate qx (annual, flat)</t>
  </si>
  <si>
    <t>Lapse rate (annual)</t>
  </si>
  <si>
    <t>Annual maintenance expense per policy</t>
  </si>
  <si>
    <t>Initial expense per policy (t0)</t>
  </si>
  <si>
    <t>Initial commission % of premium (t0)</t>
  </si>
  <si>
    <t>Expense inflation</t>
  </si>
  <si>
    <t>Risk adjustment % of PV of benefits (simple)</t>
  </si>
  <si>
    <t>ESG: CIR parameters</t>
  </si>
  <si>
    <t>Mean reversion speed κ</t>
  </si>
  <si>
    <t>Long-run mean θ</t>
  </si>
  <si>
    <t>Volatility σ</t>
  </si>
  <si>
    <t>Initial short rate r0</t>
  </si>
  <si>
    <t>Parallel up stress (bp)</t>
  </si>
  <si>
    <t>Lock-in rate for CSM (use r0)</t>
  </si>
  <si>
    <t>Notes</t>
  </si>
  <si>
    <t>• Edit inputs here. All other sheets update automatically.</t>
  </si>
  <si>
    <t>• Mortality/lapse applied to start-of-year in-force policies.</t>
  </si>
  <si>
    <t>• Risk adjustment simple % of PV of benefits (t=0).</t>
  </si>
  <si>
    <t>CIR Short-rate Path (annual)</t>
  </si>
  <si>
    <t>Year</t>
  </si>
  <si>
    <t>Base rate</t>
  </si>
  <si>
    <t>Stressed rate (+bp)</t>
  </si>
  <si>
    <t>Cohort Projection</t>
  </si>
  <si>
    <t>Start in-force policies</t>
  </si>
  <si>
    <t>Lapses</t>
  </si>
  <si>
    <t>Deaths</t>
  </si>
  <si>
    <t>End in-force policies</t>
  </si>
  <si>
    <t>Coverage units</t>
  </si>
  <si>
    <t>Gross premiums</t>
  </si>
  <si>
    <t>Sums assured on death (incurred)</t>
  </si>
  <si>
    <t>Benefits paid</t>
  </si>
  <si>
    <t>Maintenance expenses</t>
  </si>
  <si>
    <t>Discount Factors (base &amp; stress)</t>
  </si>
  <si>
    <t>DF_base</t>
  </si>
  <si>
    <t>Stressed rate</t>
  </si>
  <si>
    <t>DF_stress</t>
  </si>
  <si>
    <t>Present Values</t>
  </si>
  <si>
    <t>Net cash flow</t>
  </si>
  <si>
    <t>PV_base</t>
  </si>
  <si>
    <t>PV_stress</t>
  </si>
  <si>
    <t>CSM Roll-forward</t>
  </si>
  <si>
    <t>Future CU from t</t>
  </si>
  <si>
    <t>Weight_t</t>
  </si>
  <si>
    <t>CSM opening</t>
  </si>
  <si>
    <t>Interest accretion</t>
  </si>
  <si>
    <t>Release</t>
  </si>
  <si>
    <t>CSM closing</t>
  </si>
  <si>
    <t>Death benefits are paid at the end of the year</t>
  </si>
  <si>
    <t xml:space="preserve">Mini IFRS 17 Life Engine — Setup </t>
  </si>
  <si>
    <t>CSM_initial: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</si>
</sst>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="141" workbookViewId="0">
      <selection activeCell="A21" sqref="A21"/>
    </sheetView>
  </sheetViews>
  <sheetFormatPr baseColWidth="10" defaultColWidth="8.83203125" defaultRowHeight="15" x14ac:dyDescent="0.2"/>
  <cols>
    <col min="1" max="1" width="40.6640625" customWidth="1"/>
    <col min="2" max="2" width="18.6640625" customWidth="1"/>
    <col min="4" max="4" width="24.6640625" customWidth="1"/>
    <col min="5" max="5" width="16.6640625" customWidth="1"/>
  </cols>
  <sheetData>
    <row r="1" spans="1:5" ht="16" x14ac:dyDescent="0.2">
      <c r="A1" s="1" t="s">
        <v>55</v>
      </c>
    </row>
    <row r="3" spans="1:5" x14ac:dyDescent="0.2">
      <c r="A3" t="s">
        <v>0</v>
      </c>
      <c r="B3" t="s">
        <v>1</v>
      </c>
      <c r="D3" s="2" t="s">
        <v>14</v>
      </c>
    </row>
    <row r="4" spans="1:5" x14ac:dyDescent="0.2">
      <c r="A4" t="s">
        <v>2</v>
      </c>
      <c r="B4">
        <v>10000</v>
      </c>
      <c r="D4" t="s">
        <v>15</v>
      </c>
      <c r="E4">
        <v>0.3</v>
      </c>
    </row>
    <row r="5" spans="1:5" x14ac:dyDescent="0.2">
      <c r="A5" t="s">
        <v>3</v>
      </c>
      <c r="B5">
        <v>100000</v>
      </c>
      <c r="D5" t="s">
        <v>16</v>
      </c>
      <c r="E5">
        <v>2.5000000000000001E-2</v>
      </c>
    </row>
    <row r="6" spans="1:5" x14ac:dyDescent="0.2">
      <c r="A6" t="s">
        <v>4</v>
      </c>
      <c r="B6">
        <v>350</v>
      </c>
      <c r="D6" t="s">
        <v>17</v>
      </c>
      <c r="E6">
        <v>0.02</v>
      </c>
    </row>
    <row r="7" spans="1:5" x14ac:dyDescent="0.2">
      <c r="A7" t="s">
        <v>5</v>
      </c>
      <c r="B7">
        <v>10</v>
      </c>
      <c r="D7" t="s">
        <v>18</v>
      </c>
      <c r="E7">
        <v>0.03</v>
      </c>
    </row>
    <row r="8" spans="1:5" x14ac:dyDescent="0.2">
      <c r="A8" t="s">
        <v>6</v>
      </c>
      <c r="B8">
        <v>40</v>
      </c>
      <c r="D8" t="s">
        <v>19</v>
      </c>
      <c r="E8">
        <v>100</v>
      </c>
    </row>
    <row r="9" spans="1:5" x14ac:dyDescent="0.2">
      <c r="A9" t="s">
        <v>7</v>
      </c>
      <c r="B9">
        <v>1.5E-3</v>
      </c>
      <c r="D9" t="s">
        <v>20</v>
      </c>
      <c r="E9">
        <f>E7</f>
        <v>0.03</v>
      </c>
    </row>
    <row r="10" spans="1:5" x14ac:dyDescent="0.2">
      <c r="A10" t="s">
        <v>8</v>
      </c>
      <c r="B10">
        <v>0.05</v>
      </c>
    </row>
    <row r="11" spans="1:5" x14ac:dyDescent="0.2">
      <c r="A11" t="s">
        <v>9</v>
      </c>
      <c r="B11">
        <v>12</v>
      </c>
    </row>
    <row r="12" spans="1:5" x14ac:dyDescent="0.2">
      <c r="A12" t="s">
        <v>10</v>
      </c>
      <c r="B12">
        <v>50</v>
      </c>
    </row>
    <row r="13" spans="1:5" x14ac:dyDescent="0.2">
      <c r="A13" t="s">
        <v>11</v>
      </c>
      <c r="B13" s="4">
        <v>0.4</v>
      </c>
    </row>
    <row r="14" spans="1:5" x14ac:dyDescent="0.2">
      <c r="A14" t="s">
        <v>12</v>
      </c>
      <c r="B14">
        <v>0.02</v>
      </c>
    </row>
    <row r="15" spans="1:5" x14ac:dyDescent="0.2">
      <c r="A15" t="s">
        <v>13</v>
      </c>
      <c r="B15" s="4">
        <v>0.05</v>
      </c>
    </row>
    <row r="17" spans="1:1" x14ac:dyDescent="0.2">
      <c r="A17" s="2" t="s">
        <v>21</v>
      </c>
    </row>
    <row r="18" spans="1:1" x14ac:dyDescent="0.2">
      <c r="A18" s="3" t="s">
        <v>22</v>
      </c>
    </row>
    <row r="19" spans="1:1" x14ac:dyDescent="0.2">
      <c r="A19" s="3" t="s">
        <v>23</v>
      </c>
    </row>
    <row r="20" spans="1:1" x14ac:dyDescent="0.2">
      <c r="A20" s="3" t="s">
        <v>54</v>
      </c>
    </row>
    <row r="21" spans="1:1" x14ac:dyDescent="0.2">
      <c r="A21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D27" sqref="D27"/>
    </sheetView>
  </sheetViews>
  <sheetFormatPr baseColWidth="10" defaultColWidth="8.83203125" defaultRowHeight="15" x14ac:dyDescent="0.2"/>
  <sheetData>
    <row r="1" spans="1:3" ht="16" x14ac:dyDescent="0.2">
      <c r="A1" s="1" t="s">
        <v>25</v>
      </c>
    </row>
    <row r="3" spans="1:3" x14ac:dyDescent="0.2">
      <c r="A3" s="2" t="s">
        <v>26</v>
      </c>
      <c r="B3" s="2" t="s">
        <v>27</v>
      </c>
      <c r="C3" s="2" t="s">
        <v>28</v>
      </c>
    </row>
    <row r="4" spans="1:3" x14ac:dyDescent="0.2">
      <c r="A4">
        <v>0</v>
      </c>
      <c r="B4">
        <v>0.03</v>
      </c>
      <c r="C4">
        <f>0.03 + STRESS_BP/10000</f>
        <v>0.04</v>
      </c>
    </row>
    <row r="5" spans="1:3" x14ac:dyDescent="0.2">
      <c r="A5">
        <v>1</v>
      </c>
      <c r="B5">
        <f>B4+KAPPA*(THETA-B4)</f>
        <v>2.8500000000000001E-2</v>
      </c>
      <c r="C5">
        <f t="shared" ref="C5:C14" si="0">C4+KAPPA*(THETA-C4)</f>
        <v>3.5500000000000004E-2</v>
      </c>
    </row>
    <row r="6" spans="1:3" x14ac:dyDescent="0.2">
      <c r="A6">
        <v>2</v>
      </c>
      <c r="B6">
        <f t="shared" ref="B6:B14" si="1">B5+KAPPA*(THETA-B5)</f>
        <v>2.7450000000000002E-2</v>
      </c>
      <c r="C6">
        <f>C5+KAPPA*(THETA-C5)</f>
        <v>3.2350000000000004E-2</v>
      </c>
    </row>
    <row r="7" spans="1:3" x14ac:dyDescent="0.2">
      <c r="A7">
        <v>3</v>
      </c>
      <c r="B7">
        <f t="shared" si="1"/>
        <v>2.6715000000000003E-2</v>
      </c>
      <c r="C7">
        <f t="shared" si="0"/>
        <v>3.0145000000000002E-2</v>
      </c>
    </row>
    <row r="8" spans="1:3" x14ac:dyDescent="0.2">
      <c r="A8">
        <v>4</v>
      </c>
      <c r="B8">
        <f t="shared" si="1"/>
        <v>2.6200500000000002E-2</v>
      </c>
      <c r="C8">
        <f t="shared" si="0"/>
        <v>2.8601500000000002E-2</v>
      </c>
    </row>
    <row r="9" spans="1:3" x14ac:dyDescent="0.2">
      <c r="A9">
        <v>5</v>
      </c>
      <c r="B9">
        <f t="shared" si="1"/>
        <v>2.5840350000000002E-2</v>
      </c>
      <c r="C9">
        <f t="shared" si="0"/>
        <v>2.7521050000000002E-2</v>
      </c>
    </row>
    <row r="10" spans="1:3" x14ac:dyDescent="0.2">
      <c r="A10">
        <v>6</v>
      </c>
      <c r="B10">
        <f t="shared" si="1"/>
        <v>2.5588245000000003E-2</v>
      </c>
      <c r="C10">
        <f t="shared" si="0"/>
        <v>2.6764735000000001E-2</v>
      </c>
    </row>
    <row r="11" spans="1:3" x14ac:dyDescent="0.2">
      <c r="A11">
        <v>7</v>
      </c>
      <c r="B11">
        <f t="shared" si="1"/>
        <v>2.5411771500000003E-2</v>
      </c>
      <c r="C11">
        <f t="shared" si="0"/>
        <v>2.6235314500000002E-2</v>
      </c>
    </row>
    <row r="12" spans="1:3" x14ac:dyDescent="0.2">
      <c r="A12">
        <v>8</v>
      </c>
      <c r="B12">
        <f t="shared" si="1"/>
        <v>2.5288240050000001E-2</v>
      </c>
      <c r="C12">
        <f t="shared" si="0"/>
        <v>2.5864720150000003E-2</v>
      </c>
    </row>
    <row r="13" spans="1:3" x14ac:dyDescent="0.2">
      <c r="A13">
        <v>9</v>
      </c>
      <c r="B13">
        <f t="shared" si="1"/>
        <v>2.5201768035000002E-2</v>
      </c>
      <c r="C13">
        <f t="shared" si="0"/>
        <v>2.5605304105000004E-2</v>
      </c>
    </row>
    <row r="14" spans="1:3" x14ac:dyDescent="0.2">
      <c r="A14">
        <v>10</v>
      </c>
      <c r="B14">
        <f t="shared" si="1"/>
        <v>2.5141237624500001E-2</v>
      </c>
      <c r="C14">
        <f t="shared" si="0"/>
        <v>2.5423712873500003E-2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zoomScale="133" workbookViewId="0">
      <selection activeCell="J3" sqref="J3"/>
    </sheetView>
  </sheetViews>
  <sheetFormatPr baseColWidth="10" defaultColWidth="8.83203125" defaultRowHeight="15" x14ac:dyDescent="0.2"/>
  <sheetData>
    <row r="1" spans="1:10" ht="16" x14ac:dyDescent="0.2">
      <c r="A1" s="1" t="s">
        <v>29</v>
      </c>
    </row>
    <row r="2" spans="1:10" x14ac:dyDescent="0.2">
      <c r="A2" s="2" t="s">
        <v>26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</row>
    <row r="3" spans="1:10" x14ac:dyDescent="0.2">
      <c r="A3">
        <v>0</v>
      </c>
      <c r="B3" s="5">
        <f>COHORT</f>
        <v>10000</v>
      </c>
      <c r="C3" s="5">
        <f t="shared" ref="C3:C13" si="0">B3*LAPSE*(A3&gt;0)</f>
        <v>0</v>
      </c>
      <c r="D3" s="5">
        <f t="shared" ref="D3:D13" si="1">B3*QX*(A3&gt;0)</f>
        <v>0</v>
      </c>
      <c r="E3" s="5">
        <f>B3-C3-D3</f>
        <v>10000</v>
      </c>
      <c r="F3" s="5">
        <f>E3</f>
        <v>10000</v>
      </c>
      <c r="G3">
        <f t="shared" ref="G3:G13" si="2">B3*PREM*(A3&gt;0)</f>
        <v>0</v>
      </c>
      <c r="H3">
        <f t="shared" ref="H3:H13" si="3">D3*SUMINS</f>
        <v>0</v>
      </c>
      <c r="I3">
        <v>0</v>
      </c>
      <c r="J3">
        <f t="shared" ref="J3:J13" si="4">B3*EXP*(1+INFL)^A3</f>
        <v>120000</v>
      </c>
    </row>
    <row r="4" spans="1:10" x14ac:dyDescent="0.2">
      <c r="A4">
        <v>1</v>
      </c>
      <c r="B4" s="5">
        <f>E3</f>
        <v>10000</v>
      </c>
      <c r="C4" s="5">
        <f t="shared" si="0"/>
        <v>500</v>
      </c>
      <c r="D4" s="5">
        <f t="shared" si="1"/>
        <v>15</v>
      </c>
      <c r="E4" s="5">
        <f>B4-C4-D4</f>
        <v>9485</v>
      </c>
      <c r="F4" s="5">
        <f t="shared" ref="F4:F13" si="5">E4</f>
        <v>9485</v>
      </c>
      <c r="G4">
        <f t="shared" si="2"/>
        <v>3500000</v>
      </c>
      <c r="H4">
        <f t="shared" si="3"/>
        <v>1500000</v>
      </c>
      <c r="I4">
        <f>H4</f>
        <v>1500000</v>
      </c>
      <c r="J4">
        <f t="shared" si="4"/>
        <v>122400</v>
      </c>
    </row>
    <row r="5" spans="1:10" x14ac:dyDescent="0.2">
      <c r="A5">
        <v>2</v>
      </c>
      <c r="B5" s="5">
        <f t="shared" ref="B5:B13" si="6">E4</f>
        <v>9485</v>
      </c>
      <c r="C5" s="5">
        <f t="shared" si="0"/>
        <v>474.25</v>
      </c>
      <c r="D5" s="5">
        <f t="shared" si="1"/>
        <v>14.227500000000001</v>
      </c>
      <c r="E5" s="5">
        <f t="shared" ref="E5:E13" si="7">B5-C5-D5</f>
        <v>8996.5224999999991</v>
      </c>
      <c r="F5" s="5">
        <f t="shared" si="5"/>
        <v>8996.5224999999991</v>
      </c>
      <c r="G5">
        <f t="shared" si="2"/>
        <v>3319750</v>
      </c>
      <c r="H5">
        <f t="shared" si="3"/>
        <v>1422750</v>
      </c>
      <c r="I5">
        <f t="shared" ref="I5:I13" si="8">H5</f>
        <v>1422750</v>
      </c>
      <c r="J5">
        <f t="shared" si="4"/>
        <v>118418.32799999999</v>
      </c>
    </row>
    <row r="6" spans="1:10" x14ac:dyDescent="0.2">
      <c r="A6">
        <v>3</v>
      </c>
      <c r="B6" s="5">
        <f>E5</f>
        <v>8996.5224999999991</v>
      </c>
      <c r="C6" s="5">
        <f t="shared" si="0"/>
        <v>449.82612499999999</v>
      </c>
      <c r="D6" s="5">
        <f t="shared" si="1"/>
        <v>13.49478375</v>
      </c>
      <c r="E6" s="5">
        <f t="shared" si="7"/>
        <v>8533.2015912499992</v>
      </c>
      <c r="F6" s="5">
        <f t="shared" si="5"/>
        <v>8533.2015912499992</v>
      </c>
      <c r="G6">
        <f t="shared" si="2"/>
        <v>3148782.8749999995</v>
      </c>
      <c r="H6">
        <f t="shared" si="3"/>
        <v>1349478.375</v>
      </c>
      <c r="I6">
        <f t="shared" si="8"/>
        <v>1349478.375</v>
      </c>
      <c r="J6">
        <f t="shared" si="4"/>
        <v>114566.17979015998</v>
      </c>
    </row>
    <row r="7" spans="1:10" x14ac:dyDescent="0.2">
      <c r="A7">
        <v>4</v>
      </c>
      <c r="B7" s="5">
        <f>E6</f>
        <v>8533.2015912499992</v>
      </c>
      <c r="C7" s="5">
        <f t="shared" si="0"/>
        <v>426.66007956249996</v>
      </c>
      <c r="D7" s="5">
        <f t="shared" si="1"/>
        <v>12.799802386874999</v>
      </c>
      <c r="E7" s="5">
        <f t="shared" si="7"/>
        <v>8093.7417093006243</v>
      </c>
      <c r="F7" s="5">
        <f t="shared" si="5"/>
        <v>8093.7417093006243</v>
      </c>
      <c r="G7">
        <f t="shared" si="2"/>
        <v>2986620.5569374999</v>
      </c>
      <c r="H7">
        <f t="shared" si="3"/>
        <v>1279980.2386874999</v>
      </c>
      <c r="I7">
        <f t="shared" si="8"/>
        <v>1279980.2386874999</v>
      </c>
      <c r="J7">
        <f t="shared" si="4"/>
        <v>110839.34196158608</v>
      </c>
    </row>
    <row r="8" spans="1:10" x14ac:dyDescent="0.2">
      <c r="A8">
        <v>5</v>
      </c>
      <c r="B8" s="5">
        <f>E7</f>
        <v>8093.7417093006243</v>
      </c>
      <c r="C8" s="5">
        <f t="shared" si="0"/>
        <v>404.68708546503126</v>
      </c>
      <c r="D8" s="5">
        <f t="shared" si="1"/>
        <v>12.140612563950937</v>
      </c>
      <c r="E8" s="5">
        <f t="shared" si="7"/>
        <v>7676.9140112716423</v>
      </c>
      <c r="F8" s="5">
        <f t="shared" si="5"/>
        <v>7676.9140112716423</v>
      </c>
      <c r="G8">
        <f t="shared" si="2"/>
        <v>2832809.5982552185</v>
      </c>
      <c r="H8">
        <f t="shared" si="3"/>
        <v>1214061.2563950936</v>
      </c>
      <c r="I8">
        <f t="shared" si="8"/>
        <v>1214061.2563950936</v>
      </c>
      <c r="J8">
        <f t="shared" si="4"/>
        <v>107233.73816757571</v>
      </c>
    </row>
    <row r="9" spans="1:10" x14ac:dyDescent="0.2">
      <c r="A9">
        <v>6</v>
      </c>
      <c r="B9" s="5">
        <f>E8</f>
        <v>7676.9140112716423</v>
      </c>
      <c r="C9" s="5">
        <f t="shared" si="0"/>
        <v>383.84570056358211</v>
      </c>
      <c r="D9" s="5">
        <f t="shared" si="1"/>
        <v>11.515371016907464</v>
      </c>
      <c r="E9" s="5">
        <f t="shared" si="7"/>
        <v>7281.5529396911534</v>
      </c>
      <c r="F9" s="5">
        <f t="shared" si="5"/>
        <v>7281.5529396911534</v>
      </c>
      <c r="G9">
        <f t="shared" si="2"/>
        <v>2686919.9039450749</v>
      </c>
      <c r="H9">
        <f t="shared" si="3"/>
        <v>1151537.1016907464</v>
      </c>
      <c r="I9">
        <f t="shared" si="8"/>
        <v>1151537.1016907464</v>
      </c>
      <c r="J9">
        <f t="shared" si="4"/>
        <v>103745.42466498447</v>
      </c>
    </row>
    <row r="10" spans="1:10" x14ac:dyDescent="0.2">
      <c r="A10">
        <v>7</v>
      </c>
      <c r="B10" s="5">
        <f>E9</f>
        <v>7281.5529396911534</v>
      </c>
      <c r="C10" s="5">
        <f t="shared" si="0"/>
        <v>364.0776469845577</v>
      </c>
      <c r="D10" s="5">
        <f t="shared" si="1"/>
        <v>10.922329409536731</v>
      </c>
      <c r="E10" s="5">
        <f t="shared" si="7"/>
        <v>6906.5529632970593</v>
      </c>
      <c r="F10" s="5">
        <f t="shared" si="5"/>
        <v>6906.5529632970593</v>
      </c>
      <c r="G10">
        <f t="shared" si="2"/>
        <v>2548543.5288919038</v>
      </c>
      <c r="H10">
        <f t="shared" si="3"/>
        <v>1092232.9409536731</v>
      </c>
      <c r="I10">
        <f t="shared" si="8"/>
        <v>1092232.9409536731</v>
      </c>
      <c r="J10">
        <f t="shared" si="4"/>
        <v>100370.58600063251</v>
      </c>
    </row>
    <row r="11" spans="1:10" x14ac:dyDescent="0.2">
      <c r="A11">
        <v>8</v>
      </c>
      <c r="B11" s="5">
        <f t="shared" si="6"/>
        <v>6906.5529632970593</v>
      </c>
      <c r="C11" s="5">
        <f t="shared" si="0"/>
        <v>345.32764816485297</v>
      </c>
      <c r="D11" s="5">
        <f t="shared" si="1"/>
        <v>10.359829444945589</v>
      </c>
      <c r="E11" s="5">
        <f t="shared" si="7"/>
        <v>6550.8654856872608</v>
      </c>
      <c r="F11" s="5">
        <f t="shared" si="5"/>
        <v>6550.8654856872608</v>
      </c>
      <c r="G11">
        <f t="shared" si="2"/>
        <v>2417293.5371539709</v>
      </c>
      <c r="H11">
        <f t="shared" si="3"/>
        <v>1035982.944494559</v>
      </c>
      <c r="I11">
        <f t="shared" si="8"/>
        <v>1035982.944494559</v>
      </c>
      <c r="J11">
        <f t="shared" si="4"/>
        <v>97105.530838031947</v>
      </c>
    </row>
    <row r="12" spans="1:10" x14ac:dyDescent="0.2">
      <c r="A12">
        <v>9</v>
      </c>
      <c r="B12" s="5">
        <f t="shared" si="6"/>
        <v>6550.8654856872608</v>
      </c>
      <c r="C12" s="5">
        <f t="shared" si="0"/>
        <v>327.54327428436306</v>
      </c>
      <c r="D12" s="5">
        <f t="shared" si="1"/>
        <v>9.8262982285308915</v>
      </c>
      <c r="E12" s="5">
        <f>B12-C12-D12</f>
        <v>6213.4959131743672</v>
      </c>
      <c r="F12" s="5">
        <f t="shared" si="5"/>
        <v>6213.4959131743672</v>
      </c>
      <c r="G12">
        <f t="shared" si="2"/>
        <v>2292802.9199905414</v>
      </c>
      <c r="H12">
        <f t="shared" si="3"/>
        <v>982629.82285308919</v>
      </c>
      <c r="I12">
        <f t="shared" si="8"/>
        <v>982629.82285308919</v>
      </c>
      <c r="J12">
        <f t="shared" si="4"/>
        <v>93946.687919870776</v>
      </c>
    </row>
    <row r="13" spans="1:10" x14ac:dyDescent="0.2">
      <c r="A13">
        <v>10</v>
      </c>
      <c r="B13" s="5">
        <f t="shared" si="6"/>
        <v>6213.4959131743672</v>
      </c>
      <c r="C13" s="5">
        <f t="shared" si="0"/>
        <v>310.67479565871838</v>
      </c>
      <c r="D13" s="5">
        <f t="shared" si="1"/>
        <v>9.3202438697615513</v>
      </c>
      <c r="E13" s="5">
        <f t="shared" si="7"/>
        <v>5893.5008736458867</v>
      </c>
      <c r="F13" s="5">
        <f t="shared" si="5"/>
        <v>5893.5008736458867</v>
      </c>
      <c r="G13">
        <f t="shared" si="2"/>
        <v>2174723.5696110283</v>
      </c>
      <c r="H13">
        <f t="shared" si="3"/>
        <v>932024.3869761551</v>
      </c>
      <c r="I13">
        <f t="shared" si="8"/>
        <v>932024.3869761551</v>
      </c>
      <c r="J13">
        <f t="shared" si="4"/>
        <v>90890.602161837378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157" workbookViewId="0">
      <selection activeCell="B14" sqref="B14"/>
    </sheetView>
  </sheetViews>
  <sheetFormatPr baseColWidth="10" defaultColWidth="8.83203125" defaultRowHeight="15" x14ac:dyDescent="0.2"/>
  <sheetData>
    <row r="1" spans="1:5" ht="16" x14ac:dyDescent="0.2">
      <c r="A1" s="1" t="s">
        <v>39</v>
      </c>
    </row>
    <row r="3" spans="1:5" x14ac:dyDescent="0.2">
      <c r="A3" s="2" t="s">
        <v>26</v>
      </c>
      <c r="B3" s="2" t="s">
        <v>27</v>
      </c>
      <c r="C3" s="2" t="s">
        <v>40</v>
      </c>
      <c r="D3" s="2" t="s">
        <v>41</v>
      </c>
      <c r="E3" s="2" t="s">
        <v>42</v>
      </c>
    </row>
    <row r="4" spans="1:5" x14ac:dyDescent="0.2">
      <c r="A4">
        <v>0</v>
      </c>
      <c r="B4">
        <f>INDEX(R_BASE,1)</f>
        <v>0.03</v>
      </c>
      <c r="C4">
        <v>1</v>
      </c>
      <c r="D4">
        <f>INDEX(R_STRESS,1)</f>
        <v>0.04</v>
      </c>
      <c r="E4">
        <v>1</v>
      </c>
    </row>
    <row r="5" spans="1:5" x14ac:dyDescent="0.2">
      <c r="A5">
        <v>1</v>
      </c>
      <c r="B5">
        <f>INDEX(R_BASE,2)</f>
        <v>2.8500000000000001E-2</v>
      </c>
      <c r="C5">
        <f>C4*EXP(-B5)</f>
        <v>0.9719022941461366</v>
      </c>
      <c r="D5">
        <f>INDEX(R_STRESS,2)</f>
        <v>3.5500000000000004E-2</v>
      </c>
      <c r="E5">
        <f>E4*EXP(-D5)</f>
        <v>0.9651227342300005</v>
      </c>
    </row>
    <row r="6" spans="1:5" x14ac:dyDescent="0.2">
      <c r="A6">
        <v>2</v>
      </c>
      <c r="B6">
        <f>INDEX(R_BASE,3)</f>
        <v>2.7450000000000002E-2</v>
      </c>
      <c r="C6">
        <f>C5*EXP(-B6)</f>
        <v>0.94558641402913446</v>
      </c>
      <c r="D6">
        <f>INDEX(R_STRESS,3)</f>
        <v>3.2350000000000004E-2</v>
      </c>
      <c r="E6">
        <f t="shared" ref="E6:E14" si="0">E5*EXP(-D6)</f>
        <v>0.93440062315920602</v>
      </c>
    </row>
    <row r="7" spans="1:5" x14ac:dyDescent="0.2">
      <c r="A7">
        <v>3</v>
      </c>
      <c r="B7">
        <f>INDEX(R_BASE,4)</f>
        <v>2.6715000000000003E-2</v>
      </c>
      <c r="C7">
        <f t="shared" ref="C7:C14" si="1">C6*EXP(-B7)</f>
        <v>0.9206595165034146</v>
      </c>
      <c r="D7">
        <f>INDEX(R_STRESS,4)</f>
        <v>3.0145000000000002E-2</v>
      </c>
      <c r="E7">
        <f t="shared" si="0"/>
        <v>0.90665343700977274</v>
      </c>
    </row>
    <row r="8" spans="1:5" x14ac:dyDescent="0.2">
      <c r="A8">
        <v>4</v>
      </c>
      <c r="B8">
        <f>INDEX(R_BASE,5)</f>
        <v>2.6200500000000002E-2</v>
      </c>
      <c r="C8">
        <f t="shared" si="1"/>
        <v>0.8968510358507914</v>
      </c>
      <c r="D8">
        <f>INDEX(R_STRESS,5)</f>
        <v>2.8601500000000002E-2</v>
      </c>
      <c r="E8">
        <f t="shared" si="0"/>
        <v>0.88108912034080944</v>
      </c>
    </row>
    <row r="9" spans="1:5" x14ac:dyDescent="0.2">
      <c r="A9">
        <v>5</v>
      </c>
      <c r="B9">
        <f>INDEX(R_BASE,6)</f>
        <v>2.5840350000000002E-2</v>
      </c>
      <c r="C9">
        <f t="shared" si="1"/>
        <v>0.8739729530259589</v>
      </c>
      <c r="D9">
        <f>INDEX(R_STRESS,6)</f>
        <v>2.7521050000000002E-2</v>
      </c>
      <c r="E9">
        <f t="shared" si="0"/>
        <v>0.85717125460804877</v>
      </c>
    </row>
    <row r="10" spans="1:5" x14ac:dyDescent="0.2">
      <c r="A10">
        <v>6</v>
      </c>
      <c r="B10">
        <f>INDEX(R_BASE,7)</f>
        <v>2.5588245000000003E-2</v>
      </c>
      <c r="C10">
        <f t="shared" si="1"/>
        <v>0.8518932145867375</v>
      </c>
      <c r="D10">
        <f>INDEX(R_STRESS,7)</f>
        <v>2.6764735000000001E-2</v>
      </c>
      <c r="E10">
        <f t="shared" si="0"/>
        <v>0.83453359003557592</v>
      </c>
    </row>
    <row r="11" spans="1:5" x14ac:dyDescent="0.2">
      <c r="A11">
        <v>7</v>
      </c>
      <c r="B11">
        <f>INDEX(R_BASE,8)</f>
        <v>2.5411771500000003E-2</v>
      </c>
      <c r="C11">
        <f t="shared" si="1"/>
        <v>0.83051784217926305</v>
      </c>
      <c r="D11">
        <f>INDEX(R_STRESS,8)</f>
        <v>2.6235314500000002E-2</v>
      </c>
      <c r="E11">
        <f t="shared" si="0"/>
        <v>0.81292404490490733</v>
      </c>
    </row>
    <row r="12" spans="1:5" x14ac:dyDescent="0.2">
      <c r="A12">
        <v>8</v>
      </c>
      <c r="B12">
        <f>INDEX(R_BASE,9)</f>
        <v>2.5288240050000001E-2</v>
      </c>
      <c r="C12">
        <f t="shared" si="1"/>
        <v>0.80977883925831384</v>
      </c>
      <c r="D12">
        <f>INDEX(R_STRESS,9)</f>
        <v>2.5864720150000003E-2</v>
      </c>
      <c r="E12">
        <f t="shared" si="0"/>
        <v>0.7921675792005598</v>
      </c>
    </row>
    <row r="13" spans="1:5" x14ac:dyDescent="0.2">
      <c r="A13">
        <v>9</v>
      </c>
      <c r="B13">
        <f>INDEX(R_BASE,10)</f>
        <v>2.5201768035000002E-2</v>
      </c>
      <c r="C13">
        <f t="shared" si="1"/>
        <v>0.7896259911207657</v>
      </c>
      <c r="D13">
        <f>INDEX(R_STRESS,10)</f>
        <v>2.5605304105000004E-2</v>
      </c>
      <c r="E13">
        <f t="shared" si="0"/>
        <v>0.77214137015863327</v>
      </c>
    </row>
    <row r="14" spans="1:5" x14ac:dyDescent="0.2">
      <c r="A14">
        <v>10</v>
      </c>
      <c r="B14">
        <f>INDEX(R_BASE,11)</f>
        <v>2.5141237624500001E-2</v>
      </c>
      <c r="C14">
        <f t="shared" si="1"/>
        <v>0.7700212922765638</v>
      </c>
      <c r="D14">
        <f>INDEX(R_STRESS,11)</f>
        <v>2.5423712873500003E-2</v>
      </c>
      <c r="E14">
        <f t="shared" si="0"/>
        <v>0.75275811091877021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zoomScale="142" workbookViewId="0">
      <selection activeCell="G15" sqref="G15"/>
    </sheetView>
  </sheetViews>
  <sheetFormatPr baseColWidth="10" defaultColWidth="8.83203125" defaultRowHeight="15" x14ac:dyDescent="0.2"/>
  <cols>
    <col min="7" max="7" width="11.1640625" bestFit="1" customWidth="1"/>
  </cols>
  <sheetData>
    <row r="1" spans="1:9" ht="16" x14ac:dyDescent="0.2">
      <c r="A1" s="1" t="s">
        <v>43</v>
      </c>
    </row>
    <row r="3" spans="1:9" x14ac:dyDescent="0.2">
      <c r="A3" s="2" t="s">
        <v>26</v>
      </c>
      <c r="B3" s="2" t="s">
        <v>35</v>
      </c>
      <c r="C3" s="2" t="s">
        <v>38</v>
      </c>
      <c r="D3" s="2" t="s">
        <v>37</v>
      </c>
      <c r="E3" s="2" t="s">
        <v>44</v>
      </c>
      <c r="F3" s="2" t="s">
        <v>40</v>
      </c>
      <c r="G3" s="2" t="s">
        <v>45</v>
      </c>
      <c r="H3" s="2" t="s">
        <v>42</v>
      </c>
      <c r="I3" s="2" t="s">
        <v>46</v>
      </c>
    </row>
    <row r="4" spans="1:9" x14ac:dyDescent="0.2">
      <c r="A4">
        <v>0</v>
      </c>
      <c r="B4">
        <f>INDEX(PREM_SER,1)</f>
        <v>0</v>
      </c>
      <c r="C4">
        <f>INDEX(EXP_SER,1)</f>
        <v>120000</v>
      </c>
      <c r="D4">
        <f>INDEX(CLAIMS_PAID,1)</f>
        <v>0</v>
      </c>
      <c r="E4">
        <f>B4-C4-D4</f>
        <v>-120000</v>
      </c>
      <c r="F4">
        <f>INDEX(DF_BASE,1)</f>
        <v>1</v>
      </c>
      <c r="G4">
        <f>E4*F4</f>
        <v>-120000</v>
      </c>
      <c r="H4">
        <f>INDEX(DF_STRESS,1)</f>
        <v>1</v>
      </c>
      <c r="I4">
        <f>E4*H4</f>
        <v>-120000</v>
      </c>
    </row>
    <row r="5" spans="1:9" x14ac:dyDescent="0.2">
      <c r="A5">
        <v>1</v>
      </c>
      <c r="B5">
        <f>INDEX(PREM_SER,2)</f>
        <v>3500000</v>
      </c>
      <c r="C5">
        <f>INDEX(EXP_SER,2)</f>
        <v>122400</v>
      </c>
      <c r="D5">
        <f>INDEX(CLAIMS_PAID,2)</f>
        <v>1500000</v>
      </c>
      <c r="E5">
        <f>B5-C5-D5</f>
        <v>1877600</v>
      </c>
      <c r="F5">
        <f>INDEX(DF_BASE,2)</f>
        <v>0.9719022941461366</v>
      </c>
      <c r="G5">
        <f>E5*F5</f>
        <v>1824843.747488786</v>
      </c>
      <c r="H5">
        <f>INDEX(DF_STRESS,2)</f>
        <v>0.9651227342300005</v>
      </c>
      <c r="I5">
        <f>E5*H5</f>
        <v>1812114.4457902489</v>
      </c>
    </row>
    <row r="6" spans="1:9" x14ac:dyDescent="0.2">
      <c r="A6">
        <v>2</v>
      </c>
      <c r="B6">
        <f>INDEX(PREM_SER,3)</f>
        <v>3319750</v>
      </c>
      <c r="C6">
        <f>INDEX(EXP_SER,3)</f>
        <v>118418.32799999999</v>
      </c>
      <c r="D6">
        <f>INDEX(CLAIMS_PAID,3)</f>
        <v>1422750</v>
      </c>
      <c r="E6">
        <f t="shared" ref="E6:E14" si="0">B6-C6-D6</f>
        <v>1778581.6719999998</v>
      </c>
      <c r="F6">
        <f>INDEX(DF_BASE,3)</f>
        <v>0.94558641402913446</v>
      </c>
      <c r="G6">
        <f t="shared" ref="G6:G14" si="1">E6*F6</f>
        <v>1681802.665284422</v>
      </c>
      <c r="H6">
        <f>INDEX(DF_STRESS,3)</f>
        <v>0.93440062315920602</v>
      </c>
      <c r="I6">
        <f t="shared" ref="I6:I14" si="2">E6*H6</f>
        <v>1661907.8226563423</v>
      </c>
    </row>
    <row r="7" spans="1:9" x14ac:dyDescent="0.2">
      <c r="A7">
        <v>3</v>
      </c>
      <c r="B7">
        <f>INDEX(PREM_SER,4)</f>
        <v>3148782.8749999995</v>
      </c>
      <c r="C7">
        <f>INDEX(EXP_SER,4)</f>
        <v>114566.17979015998</v>
      </c>
      <c r="D7">
        <f>INDEX(CLAIMS_PAID,4)</f>
        <v>1349478.375</v>
      </c>
      <c r="E7">
        <f t="shared" si="0"/>
        <v>1684738.3202098394</v>
      </c>
      <c r="F7">
        <f>INDEX(DF_BASE,4)</f>
        <v>0.9206595165034146</v>
      </c>
      <c r="G7">
        <f t="shared" si="1"/>
        <v>1551070.3673191655</v>
      </c>
      <c r="H7">
        <f>INDEX(DF_STRESS,4)</f>
        <v>0.90665343700977274</v>
      </c>
      <c r="I7">
        <f t="shared" si="2"/>
        <v>1527473.7884803219</v>
      </c>
    </row>
    <row r="8" spans="1:9" x14ac:dyDescent="0.2">
      <c r="A8">
        <v>4</v>
      </c>
      <c r="B8">
        <f>INDEX(PREM_SER,5)</f>
        <v>2986620.5569374999</v>
      </c>
      <c r="C8">
        <f>INDEX(EXP_SER,5)</f>
        <v>110839.34196158608</v>
      </c>
      <c r="D8">
        <f>INDEX(CLAIMS_PAID,5)</f>
        <v>1279980.2386874999</v>
      </c>
      <c r="E8">
        <f t="shared" si="0"/>
        <v>1595800.9762884141</v>
      </c>
      <c r="F8">
        <f>INDEX(DF_BASE,5)</f>
        <v>0.8968510358507914</v>
      </c>
      <c r="G8">
        <f t="shared" si="1"/>
        <v>1431195.7585959684</v>
      </c>
      <c r="H8">
        <f>INDEX(DF_STRESS,5)</f>
        <v>0.88108912034080944</v>
      </c>
      <c r="I8">
        <f t="shared" si="2"/>
        <v>1406042.8784369638</v>
      </c>
    </row>
    <row r="9" spans="1:9" x14ac:dyDescent="0.2">
      <c r="A9">
        <v>5</v>
      </c>
      <c r="B9">
        <f>INDEX(PREM_SER,6)</f>
        <v>2832809.5982552185</v>
      </c>
      <c r="C9">
        <f>INDEX(EXP_SER,6)</f>
        <v>107233.73816757571</v>
      </c>
      <c r="D9">
        <f>INDEX(CLAIMS_PAID,6)</f>
        <v>1214061.2563950936</v>
      </c>
      <c r="E9">
        <f t="shared" si="0"/>
        <v>1511514.6036925493</v>
      </c>
      <c r="F9">
        <f>INDEX(DF_BASE,6)</f>
        <v>0.8739729530259589</v>
      </c>
      <c r="G9">
        <f t="shared" si="1"/>
        <v>1321022.8817310391</v>
      </c>
      <c r="H9">
        <f>INDEX(DF_STRESS,6)</f>
        <v>0.85717125460804877</v>
      </c>
      <c r="I9">
        <f t="shared" si="2"/>
        <v>1295626.86920553</v>
      </c>
    </row>
    <row r="10" spans="1:9" x14ac:dyDescent="0.2">
      <c r="A10">
        <v>6</v>
      </c>
      <c r="B10">
        <f>INDEX(PREM_SER,7)</f>
        <v>2686919.9039450749</v>
      </c>
      <c r="C10">
        <f>INDEX(EXP_SER,7)</f>
        <v>103745.42466498447</v>
      </c>
      <c r="D10">
        <f>INDEX(CLAIMS_PAID,7)</f>
        <v>1151537.1016907464</v>
      </c>
      <c r="E10">
        <f t="shared" si="0"/>
        <v>1431637.377589344</v>
      </c>
      <c r="F10">
        <f>INDEX(DF_BASE,7)</f>
        <v>0.8518932145867375</v>
      </c>
      <c r="G10">
        <f t="shared" si="1"/>
        <v>1219602.1677171132</v>
      </c>
      <c r="H10">
        <f>INDEX(DF_STRESS,7)</f>
        <v>0.83453359003557592</v>
      </c>
      <c r="I10">
        <f t="shared" si="2"/>
        <v>1194749.4803487526</v>
      </c>
    </row>
    <row r="11" spans="1:9" x14ac:dyDescent="0.2">
      <c r="A11">
        <v>7</v>
      </c>
      <c r="B11">
        <f>INDEX(PREM_SER,8)</f>
        <v>2548543.5288919038</v>
      </c>
      <c r="C11">
        <f>INDEX(EXP_SER,8)</f>
        <v>100370.58600063251</v>
      </c>
      <c r="D11">
        <f>INDEX(CLAIMS_PAID,8)</f>
        <v>1092232.9409536731</v>
      </c>
      <c r="E11">
        <f t="shared" si="0"/>
        <v>1355940.0019375982</v>
      </c>
      <c r="F11">
        <f>INDEX(DF_BASE,8)</f>
        <v>0.83051784217926305</v>
      </c>
      <c r="G11">
        <f t="shared" si="1"/>
        <v>1126132.3645337599</v>
      </c>
      <c r="H11">
        <f>INDEX(DF_STRESS,8)</f>
        <v>0.81292404490490733</v>
      </c>
      <c r="I11">
        <f t="shared" si="2"/>
        <v>1102276.2310234802</v>
      </c>
    </row>
    <row r="12" spans="1:9" x14ac:dyDescent="0.2">
      <c r="A12">
        <v>8</v>
      </c>
      <c r="B12">
        <f>INDEX(PREM_SER,9)</f>
        <v>2417293.5371539709</v>
      </c>
      <c r="C12">
        <f>INDEX(EXP_SER,9)</f>
        <v>97105.530838031947</v>
      </c>
      <c r="D12">
        <f>INDEX(CLAIMS_PAID,9)</f>
        <v>1035982.944494559</v>
      </c>
      <c r="E12">
        <f t="shared" si="0"/>
        <v>1284205.0618213802</v>
      </c>
      <c r="F12">
        <f>INDEX(DF_BASE,9)</f>
        <v>0.80977883925831384</v>
      </c>
      <c r="G12">
        <f t="shared" si="1"/>
        <v>1039922.0843313684</v>
      </c>
      <c r="H12">
        <f>INDEX(DF_STRESS,9)</f>
        <v>0.7921675792005598</v>
      </c>
      <c r="I12">
        <f t="shared" si="2"/>
        <v>1017305.615020148</v>
      </c>
    </row>
    <row r="13" spans="1:9" x14ac:dyDescent="0.2">
      <c r="A13">
        <v>9</v>
      </c>
      <c r="B13">
        <f>INDEX(PREM_SER,10)</f>
        <v>2292802.9199905414</v>
      </c>
      <c r="C13">
        <f>INDEX(EXP_SER,10)</f>
        <v>93946.687919870776</v>
      </c>
      <c r="D13">
        <f>INDEX(CLAIMS_PAID,10)</f>
        <v>982629.82285308919</v>
      </c>
      <c r="E13">
        <f t="shared" si="0"/>
        <v>1216226.4092175812</v>
      </c>
      <c r="F13">
        <f>INDEX(DF_BASE,10)</f>
        <v>0.7896259911207657</v>
      </c>
      <c r="G13">
        <f t="shared" si="1"/>
        <v>960363.98380568251</v>
      </c>
      <c r="H13">
        <f>INDEX(DF_STRESS,10)</f>
        <v>0.77214137015863327</v>
      </c>
      <c r="I13">
        <f t="shared" si="2"/>
        <v>939098.72603637772</v>
      </c>
    </row>
    <row r="14" spans="1:9" x14ac:dyDescent="0.2">
      <c r="A14">
        <v>10</v>
      </c>
      <c r="B14">
        <f>INDEX(PREM_SER,11)</f>
        <v>2174723.5696110283</v>
      </c>
      <c r="C14">
        <f>INDEX(EXP_SER,11)</f>
        <v>90890.602161837378</v>
      </c>
      <c r="D14">
        <f>INDEX(CLAIMS_PAID,11)</f>
        <v>932024.3869761551</v>
      </c>
      <c r="E14">
        <f t="shared" si="0"/>
        <v>1151808.580473036</v>
      </c>
      <c r="F14">
        <f>INDEX(DF_BASE,11)</f>
        <v>0.7700212922765638</v>
      </c>
      <c r="G14">
        <f t="shared" si="1"/>
        <v>886917.13159108174</v>
      </c>
      <c r="H14">
        <f>INDEX(DF_STRESS,11)</f>
        <v>0.75275811091877021</v>
      </c>
      <c r="I14">
        <f t="shared" si="2"/>
        <v>867033.25117691292</v>
      </c>
    </row>
    <row r="15" spans="1:9" x14ac:dyDescent="0.2">
      <c r="F15" t="s">
        <v>56</v>
      </c>
      <c r="G15">
        <f>SUM(G4:G14)</f>
        <v>12922873.152398387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tabSelected="1" zoomScale="132" workbookViewId="0">
      <selection activeCell="G21" sqref="G21"/>
    </sheetView>
  </sheetViews>
  <sheetFormatPr baseColWidth="10" defaultColWidth="8.83203125" defaultRowHeight="15" x14ac:dyDescent="0.2"/>
  <sheetData>
    <row r="1" spans="1:8" ht="16" x14ac:dyDescent="0.2">
      <c r="A1" s="1" t="s">
        <v>47</v>
      </c>
    </row>
    <row r="3" spans="1:8" x14ac:dyDescent="0.2">
      <c r="A3" s="2" t="s">
        <v>26</v>
      </c>
      <c r="B3" s="2" t="s">
        <v>34</v>
      </c>
      <c r="C3" s="2" t="s">
        <v>48</v>
      </c>
      <c r="D3" s="2" t="s">
        <v>49</v>
      </c>
      <c r="E3" s="2" t="s">
        <v>50</v>
      </c>
      <c r="F3" s="2" t="s">
        <v>51</v>
      </c>
      <c r="G3" s="2" t="s">
        <v>52</v>
      </c>
      <c r="H3" s="2" t="s">
        <v>53</v>
      </c>
    </row>
    <row r="4" spans="1:8" x14ac:dyDescent="0.2">
      <c r="A4">
        <v>0</v>
      </c>
      <c r="B4" s="5">
        <v>10000</v>
      </c>
      <c r="C4" s="5">
        <f>SUM(B4:B$14)</f>
        <v>85631.347987317989</v>
      </c>
      <c r="D4">
        <f>B4/C$4</f>
        <v>0.11677966346484468</v>
      </c>
      <c r="E4">
        <v>12922873.152398387</v>
      </c>
      <c r="F4">
        <f>E4*LOCKIN</f>
        <v>387686.19457195158</v>
      </c>
      <c r="G4">
        <f>(E4+F4)*(B4/C4)</f>
        <v>1554402.641068039</v>
      </c>
      <c r="H4">
        <f>E4+F4-G4</f>
        <v>11756156.705902299</v>
      </c>
    </row>
    <row r="5" spans="1:8" x14ac:dyDescent="0.2">
      <c r="A5">
        <v>1</v>
      </c>
      <c r="B5" s="5">
        <v>9485</v>
      </c>
      <c r="C5" s="5">
        <f>SUM(B5:B$14)</f>
        <v>75631.347987317975</v>
      </c>
      <c r="D5">
        <f t="shared" ref="D5:D14" si="0">B5/C$4</f>
        <v>0.11076551079640519</v>
      </c>
      <c r="E5">
        <f>H4</f>
        <v>11756156.705902299</v>
      </c>
      <c r="F5">
        <f>E5*LOCKIN</f>
        <v>352684.70117706893</v>
      </c>
      <c r="G5">
        <f t="shared" ref="G5:G14" si="1">(E5+F5)*(B5/C5)</f>
        <v>1518581.432204626</v>
      </c>
      <c r="H5">
        <f t="shared" ref="H5:H14" si="2">E5+F5-G5</f>
        <v>10590259.97487474</v>
      </c>
    </row>
    <row r="6" spans="1:8" x14ac:dyDescent="0.2">
      <c r="A6">
        <v>2</v>
      </c>
      <c r="B6" s="5">
        <v>8996.5224999999991</v>
      </c>
      <c r="C6" s="5">
        <f>SUM(B6:B$14)</f>
        <v>66146.347987317989</v>
      </c>
      <c r="D6">
        <f t="shared" si="0"/>
        <v>0.10506108699039031</v>
      </c>
      <c r="E6">
        <f t="shared" ref="E6:E14" si="3">H5</f>
        <v>10590259.97487474</v>
      </c>
      <c r="F6">
        <f>E6*LOCKIN</f>
        <v>317707.79924624221</v>
      </c>
      <c r="G6">
        <f t="shared" si="1"/>
        <v>1483585.7230994701</v>
      </c>
      <c r="H6">
        <f t="shared" si="2"/>
        <v>9424382.0510215126</v>
      </c>
    </row>
    <row r="7" spans="1:8" x14ac:dyDescent="0.2">
      <c r="A7">
        <v>3</v>
      </c>
      <c r="B7" s="5">
        <v>8533.2015912499992</v>
      </c>
      <c r="C7" s="5">
        <f>SUM(B7:B$14)</f>
        <v>57149.825487317983</v>
      </c>
      <c r="D7">
        <f t="shared" si="0"/>
        <v>9.9650441010385199E-2</v>
      </c>
      <c r="E7">
        <f t="shared" si="3"/>
        <v>9424382.0510215126</v>
      </c>
      <c r="F7">
        <f>E7*LOCKIN</f>
        <v>282731.46153064538</v>
      </c>
      <c r="G7">
        <f t="shared" si="1"/>
        <v>1449396.4901106425</v>
      </c>
      <c r="H7">
        <f t="shared" si="2"/>
        <v>8257717.0224415148</v>
      </c>
    </row>
    <row r="8" spans="1:8" x14ac:dyDescent="0.2">
      <c r="A8">
        <v>4</v>
      </c>
      <c r="B8" s="5">
        <v>8093.7417093006243</v>
      </c>
      <c r="C8" s="5">
        <f>SUM(B8:B$14)</f>
        <v>48616.623896067991</v>
      </c>
      <c r="D8">
        <f t="shared" si="0"/>
        <v>9.4518443298350366E-2</v>
      </c>
      <c r="E8">
        <f t="shared" si="3"/>
        <v>8257717.0224415148</v>
      </c>
      <c r="F8">
        <f>E8*LOCKIN</f>
        <v>247731.51067324544</v>
      </c>
      <c r="G8">
        <f t="shared" si="1"/>
        <v>1415995.1479960431</v>
      </c>
      <c r="H8">
        <f t="shared" si="2"/>
        <v>7089453.3851187183</v>
      </c>
    </row>
    <row r="9" spans="1:8" x14ac:dyDescent="0.2">
      <c r="A9">
        <v>5</v>
      </c>
      <c r="B9" s="5">
        <v>7676.9140112716423</v>
      </c>
      <c r="C9" s="5">
        <f>SUM(B9:B$14)</f>
        <v>40522.882186767369</v>
      </c>
      <c r="D9">
        <f t="shared" si="0"/>
        <v>8.9650743468485325E-2</v>
      </c>
      <c r="E9">
        <f t="shared" si="3"/>
        <v>7089453.3851187183</v>
      </c>
      <c r="F9">
        <f>E9*LOCKIN</f>
        <v>212683.60155356154</v>
      </c>
      <c r="G9">
        <f t="shared" si="1"/>
        <v>1383363.539810474</v>
      </c>
      <c r="H9">
        <f t="shared" si="2"/>
        <v>5918773.4468618054</v>
      </c>
    </row>
    <row r="10" spans="1:8" x14ac:dyDescent="0.2">
      <c r="A10">
        <v>6</v>
      </c>
      <c r="B10" s="5">
        <v>7281.5529396911534</v>
      </c>
      <c r="C10" s="5">
        <f>SUM(B10:B$14)</f>
        <v>32845.968175495727</v>
      </c>
      <c r="D10">
        <f t="shared" si="0"/>
        <v>8.5033730179858338E-2</v>
      </c>
      <c r="E10">
        <f t="shared" si="3"/>
        <v>5918773.4468618054</v>
      </c>
      <c r="F10">
        <f>E10*LOCKIN</f>
        <v>177563.20340585415</v>
      </c>
      <c r="G10">
        <f t="shared" si="1"/>
        <v>1351483.9270355417</v>
      </c>
      <c r="H10">
        <f t="shared" si="2"/>
        <v>4744852.7232321184</v>
      </c>
    </row>
    <row r="11" spans="1:8" x14ac:dyDescent="0.2">
      <c r="A11">
        <v>7</v>
      </c>
      <c r="B11" s="5">
        <v>6906.5529632970593</v>
      </c>
      <c r="C11" s="5">
        <f>SUM(B11:B$14)</f>
        <v>25564.415235804576</v>
      </c>
      <c r="D11">
        <f t="shared" si="0"/>
        <v>8.0654493075595635E-2</v>
      </c>
      <c r="E11">
        <f t="shared" si="3"/>
        <v>4744852.7232321184</v>
      </c>
      <c r="F11">
        <f>E11*LOCKIN</f>
        <v>142345.58169696355</v>
      </c>
      <c r="G11">
        <f t="shared" si="1"/>
        <v>1320338.9799370081</v>
      </c>
      <c r="H11">
        <f t="shared" si="2"/>
        <v>3566859.3249920742</v>
      </c>
    </row>
    <row r="12" spans="1:8" x14ac:dyDescent="0.2">
      <c r="A12">
        <v>8</v>
      </c>
      <c r="B12" s="5">
        <v>6550.8654856872608</v>
      </c>
      <c r="C12" s="5">
        <f>SUM(B12:B$14)</f>
        <v>18657.862272507515</v>
      </c>
      <c r="D12">
        <f t="shared" si="0"/>
        <v>7.6500786682202462E-2</v>
      </c>
      <c r="E12">
        <f t="shared" si="3"/>
        <v>3566859.3249920742</v>
      </c>
      <c r="F12">
        <f>E12*LOCKIN</f>
        <v>107005.77974976222</v>
      </c>
      <c r="G12">
        <f t="shared" si="1"/>
        <v>1289911.7681443598</v>
      </c>
      <c r="H12">
        <f t="shared" si="2"/>
        <v>2383953.3365974766</v>
      </c>
    </row>
    <row r="13" spans="1:8" x14ac:dyDescent="0.2">
      <c r="A13">
        <v>9</v>
      </c>
      <c r="B13" s="5">
        <v>6213.4959131743672</v>
      </c>
      <c r="C13" s="5">
        <f>SUM(B13:B$14)</f>
        <v>12106.996786820255</v>
      </c>
      <c r="D13">
        <f t="shared" si="0"/>
        <v>7.2560996168069034E-2</v>
      </c>
      <c r="E13">
        <f t="shared" si="3"/>
        <v>2383953.3365974766</v>
      </c>
      <c r="F13">
        <f>E13*LOCKIN</f>
        <v>71518.600097924296</v>
      </c>
      <c r="G13">
        <f t="shared" si="1"/>
        <v>1260185.751447473</v>
      </c>
      <c r="H13">
        <f t="shared" si="2"/>
        <v>1195286.1852479281</v>
      </c>
    </row>
    <row r="14" spans="1:8" x14ac:dyDescent="0.2">
      <c r="A14">
        <v>10</v>
      </c>
      <c r="B14" s="5">
        <v>5893.5008736458867</v>
      </c>
      <c r="C14" s="5">
        <f>SUM(B14:B$14)</f>
        <v>5893.5008736458867</v>
      </c>
      <c r="D14">
        <f t="shared" si="0"/>
        <v>6.8824104865413474E-2</v>
      </c>
      <c r="E14">
        <f t="shared" si="3"/>
        <v>1195286.1852479281</v>
      </c>
      <c r="F14">
        <f>E14*LOCKIN</f>
        <v>35858.585557437844</v>
      </c>
      <c r="G14">
        <f t="shared" si="1"/>
        <v>1231144.7708053659</v>
      </c>
      <c r="H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Setup</vt:lpstr>
      <vt:lpstr>CIR</vt:lpstr>
      <vt:lpstr>Projection</vt:lpstr>
      <vt:lpstr>Discount</vt:lpstr>
      <vt:lpstr>PV</vt:lpstr>
      <vt:lpstr>CSM</vt:lpstr>
      <vt:lpstr>ACQ</vt:lpstr>
      <vt:lpstr>CLAIMS_INC</vt:lpstr>
      <vt:lpstr>CLAIMS_PAID</vt:lpstr>
      <vt:lpstr>COHORT</vt:lpstr>
      <vt:lpstr>COMM_PCT</vt:lpstr>
      <vt:lpstr>CU</vt:lpstr>
      <vt:lpstr>DF_BASE</vt:lpstr>
      <vt:lpstr>DF_STRESS</vt:lpstr>
      <vt:lpstr>EXP</vt:lpstr>
      <vt:lpstr>EXP_SER</vt:lpstr>
      <vt:lpstr>INFL</vt:lpstr>
      <vt:lpstr>KAPPA</vt:lpstr>
      <vt:lpstr>LAPSE</vt:lpstr>
      <vt:lpstr>LOCKIN</vt:lpstr>
      <vt:lpstr>PREM</vt:lpstr>
      <vt:lpstr>PREM_SER</vt:lpstr>
      <vt:lpstr>QX</vt:lpstr>
      <vt:lpstr>R_BASE</vt:lpstr>
      <vt:lpstr>R_STRESS</vt:lpstr>
      <vt:lpstr>RA_PCT</vt:lpstr>
      <vt:lpstr>SIGMA</vt:lpstr>
      <vt:lpstr>STRESS_BP</vt:lpstr>
      <vt:lpstr>SUMINS</vt:lpstr>
      <vt:lpstr>TERM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Divyanshi Verma (dv1n22)</cp:lastModifiedBy>
  <dcterms:created xsi:type="dcterms:W3CDTF">2025-08-08T22:16:35Z</dcterms:created>
  <dcterms:modified xsi:type="dcterms:W3CDTF">2025-09-19T20:12:27Z</dcterms:modified>
</cp:coreProperties>
</file>