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CIR" sheetId="2" r:id="rId2"/>
    <sheet name="Projection" sheetId="3" r:id="rId3"/>
    <sheet name="Discount" sheetId="4" r:id="rId4"/>
    <sheet name="PV" sheetId="5" r:id="rId5"/>
    <sheet name="CSM" sheetId="6" r:id="rId6"/>
  </sheets>
  <definedNames>
    <definedName name="ACQ">Setup!$B$12</definedName>
    <definedName name="CLAIMS_INC">Projection!$H$4:$H$14</definedName>
    <definedName name="CLAIMS_PAID">Projection!$I$4:$I$14</definedName>
    <definedName name="COHORT">Setup!$B$4</definedName>
    <definedName name="COMM_PCT">Setup!$B$13</definedName>
    <definedName name="CU">Projection!$F$4:$F$14</definedName>
    <definedName name="DF_BASE">Discount!$C$4:$C$14</definedName>
    <definedName name="DF_STRESS">Discount!$E$4:$E$14</definedName>
    <definedName name="EXP">Setup!$B$11</definedName>
    <definedName name="EXP_SER">Projection!$J$4:$J$14</definedName>
    <definedName name="INFL">Setup!$B$14</definedName>
    <definedName name="KAPPA">Setup!$E$4</definedName>
    <definedName name="LAPSE">Setup!$B$10</definedName>
    <definedName name="LOCKIN">Setup!$E$9</definedName>
    <definedName name="PREM">Setup!$B$6</definedName>
    <definedName name="PREM_SER">Projection!$G$4:$G$14</definedName>
    <definedName name="QX">Setup!$B$9</definedName>
    <definedName name="R_BASE">CIR!$B$4:$B$14</definedName>
    <definedName name="R_STRESS">CIR!$C$4:$C$14</definedName>
    <definedName name="RA_PCT">Setup!$B$15</definedName>
    <definedName name="SIGMA">Setup!$E$6</definedName>
    <definedName name="STRESS_BP">Setup!$E$8</definedName>
    <definedName name="SUMINS">Setup!$B$5</definedName>
    <definedName name="TERM">Setup!$B$7</definedName>
    <definedName name="THETA">Setup!$E$5</definedName>
  </definedNames>
  <calcPr calcId="124519" fullCalcOnLoad="1"/>
</workbook>
</file>

<file path=xl/sharedStrings.xml><?xml version="1.0" encoding="utf-8"?>
<sst xmlns="http://schemas.openxmlformats.org/spreadsheetml/2006/main" count="67" uniqueCount="56">
  <si>
    <t>Mini IFRS 17 Life Engine — Setup (UK Terminology)</t>
  </si>
  <si>
    <t>Currency</t>
  </si>
  <si>
    <t>GBP</t>
  </si>
  <si>
    <t>Number of policies in cohort</t>
  </si>
  <si>
    <t>Sum assured per policy</t>
  </si>
  <si>
    <t>Annual gross premium per policy</t>
  </si>
  <si>
    <t>Term (years)</t>
  </si>
  <si>
    <t>Issue age (not used)</t>
  </si>
  <si>
    <t>Mortality rate qx (annual, flat)</t>
  </si>
  <si>
    <t>Lapse rate (annual)</t>
  </si>
  <si>
    <t>Annual maintenance expense per policy</t>
  </si>
  <si>
    <t>Initial expense per policy (t0)</t>
  </si>
  <si>
    <t>Initial commission % of premium (t0)</t>
  </si>
  <si>
    <t>Expense inflation</t>
  </si>
  <si>
    <t>Risk adjustment % of PV of benefits (simple)</t>
  </si>
  <si>
    <t>ESG: CIR parameters</t>
  </si>
  <si>
    <t>Mean reversion speed κ</t>
  </si>
  <si>
    <t>Long-run mean θ</t>
  </si>
  <si>
    <t>Volatility σ</t>
  </si>
  <si>
    <t>Initial short rate r0</t>
  </si>
  <si>
    <t>Parallel up stress (bp)</t>
  </si>
  <si>
    <t>Lock-in rate for CSM (use r0)</t>
  </si>
  <si>
    <t>Notes</t>
  </si>
  <si>
    <t>• Edit inputs here. All other sheets update automatically.</t>
  </si>
  <si>
    <t>• Mortality/lapse applied to start-of-year in-force policies.</t>
  </si>
  <si>
    <t>• Death benefits are paid with 1-year delay to create LIC.</t>
  </si>
  <si>
    <t>• Risk adjustment simple % of PV of benefits (t=0).</t>
  </si>
  <si>
    <t>CIR Short-rate Path (annual)</t>
  </si>
  <si>
    <t>Year</t>
  </si>
  <si>
    <t>Base rate</t>
  </si>
  <si>
    <t>Stressed rate (+bp)</t>
  </si>
  <si>
    <t>Cohort Projection</t>
  </si>
  <si>
    <t>Start in-force policies</t>
  </si>
  <si>
    <t>Lapses</t>
  </si>
  <si>
    <t>Deaths</t>
  </si>
  <si>
    <t>End in-force policies</t>
  </si>
  <si>
    <t>Coverage units</t>
  </si>
  <si>
    <t>Gross premiums</t>
  </si>
  <si>
    <t>Sums assured on death (incurred)</t>
  </si>
  <si>
    <t>Benefits paid</t>
  </si>
  <si>
    <t>Maintenance expenses</t>
  </si>
  <si>
    <t>Discount Factors (base &amp; stress)</t>
  </si>
  <si>
    <t>DF_base</t>
  </si>
  <si>
    <t>Stressed rate</t>
  </si>
  <si>
    <t>DF_stress</t>
  </si>
  <si>
    <t>Present Values</t>
  </si>
  <si>
    <t>Net cash flow</t>
  </si>
  <si>
    <t>PV_base</t>
  </si>
  <si>
    <t>PV_stress</t>
  </si>
  <si>
    <t>CSM Roll-forward</t>
  </si>
  <si>
    <t>Future CU from t</t>
  </si>
  <si>
    <t>Weight_t</t>
  </si>
  <si>
    <t>CSM opening</t>
  </si>
  <si>
    <t>Interest accretion</t>
  </si>
  <si>
    <t>Release</t>
  </si>
  <si>
    <t>CSM closing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</si>
</sst>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40.7109375" customWidth="1"/>
    <col min="2" max="2" width="18.7109375" customWidth="1"/>
    <col min="4" max="4" width="24.7109375" customWidth="1"/>
    <col min="5" max="5" width="16.7109375" customWidth="1"/>
  </cols>
  <sheetData>
    <row r="1" spans="1:5">
      <c r="A1" s="1" t="s">
        <v>0</v>
      </c>
    </row>
    <row r="3" spans="1:5">
      <c r="A3" t="s">
        <v>1</v>
      </c>
      <c r="B3" t="s">
        <v>2</v>
      </c>
      <c r="D3" s="2" t="s">
        <v>15</v>
      </c>
    </row>
    <row r="4" spans="1:5">
      <c r="A4" t="s">
        <v>3</v>
      </c>
      <c r="B4">
        <v>10000</v>
      </c>
      <c r="D4" t="s">
        <v>16</v>
      </c>
      <c r="E4">
        <v>0.3</v>
      </c>
    </row>
    <row r="5" spans="1:5">
      <c r="A5" t="s">
        <v>4</v>
      </c>
      <c r="B5">
        <v>100000</v>
      </c>
      <c r="D5" t="s">
        <v>17</v>
      </c>
      <c r="E5">
        <v>0.025</v>
      </c>
    </row>
    <row r="6" spans="1:5">
      <c r="A6" t="s">
        <v>5</v>
      </c>
      <c r="B6">
        <v>350</v>
      </c>
      <c r="D6" t="s">
        <v>18</v>
      </c>
      <c r="E6">
        <v>0.02</v>
      </c>
    </row>
    <row r="7" spans="1:5">
      <c r="A7" t="s">
        <v>6</v>
      </c>
      <c r="B7">
        <v>10</v>
      </c>
      <c r="D7" t="s">
        <v>19</v>
      </c>
      <c r="E7">
        <v>0.03</v>
      </c>
    </row>
    <row r="8" spans="1:5">
      <c r="A8" t="s">
        <v>7</v>
      </c>
      <c r="B8">
        <v>40</v>
      </c>
      <c r="D8" t="s">
        <v>20</v>
      </c>
      <c r="E8">
        <v>100</v>
      </c>
    </row>
    <row r="9" spans="1:5">
      <c r="A9" t="s">
        <v>8</v>
      </c>
      <c r="B9">
        <v>0.0015</v>
      </c>
      <c r="D9" t="s">
        <v>21</v>
      </c>
      <c r="E9">
        <f>E7</f>
        <v>0</v>
      </c>
    </row>
    <row r="10" spans="1:5">
      <c r="A10" t="s">
        <v>9</v>
      </c>
      <c r="B10">
        <v>0.05</v>
      </c>
    </row>
    <row r="11" spans="1:5">
      <c r="A11" t="s">
        <v>10</v>
      </c>
      <c r="B11">
        <v>12</v>
      </c>
    </row>
    <row r="12" spans="1:5">
      <c r="A12" t="s">
        <v>11</v>
      </c>
      <c r="B12">
        <v>50</v>
      </c>
    </row>
    <row r="13" spans="1:5">
      <c r="A13" t="s">
        <v>12</v>
      </c>
      <c r="B13">
        <v>0.4</v>
      </c>
    </row>
    <row r="14" spans="1:5">
      <c r="A14" t="s">
        <v>13</v>
      </c>
      <c r="B14">
        <v>0.02</v>
      </c>
    </row>
    <row r="15" spans="1:5">
      <c r="A15" t="s">
        <v>14</v>
      </c>
      <c r="B15">
        <v>0.05</v>
      </c>
    </row>
    <row r="17" spans="1:1">
      <c r="A17" s="2" t="s">
        <v>22</v>
      </c>
    </row>
    <row r="18" spans="1:1">
      <c r="A18" s="3" t="s">
        <v>23</v>
      </c>
    </row>
    <row r="19" spans="1:1">
      <c r="A19" s="3" t="s">
        <v>24</v>
      </c>
    </row>
    <row r="20" spans="1:1">
      <c r="A20" s="3" t="s">
        <v>25</v>
      </c>
    </row>
    <row r="21" spans="1:1">
      <c r="A21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</v>
      </c>
    </row>
    <row r="3" spans="1:3">
      <c r="A3" s="2" t="s">
        <v>28</v>
      </c>
      <c r="B3" s="2" t="s">
        <v>29</v>
      </c>
      <c r="C3" s="2" t="s">
        <v>30</v>
      </c>
    </row>
    <row r="4" spans="1:3">
      <c r="A4">
        <v>0</v>
      </c>
      <c r="B4">
        <f>R0</f>
        <v>0</v>
      </c>
      <c r="C4">
        <f>R0 + STRESS_BP/10000</f>
        <v>0</v>
      </c>
    </row>
    <row r="5" spans="1:3">
      <c r="A5">
        <v>1</v>
      </c>
      <c r="B5">
        <f>B4+KAPPA*(THETA-B4)</f>
        <v>0</v>
      </c>
      <c r="C5">
        <f>C4+KAPPA*(THETA-C4)</f>
        <v>0</v>
      </c>
    </row>
    <row r="6" spans="1:3">
      <c r="A6">
        <v>2</v>
      </c>
      <c r="B6">
        <f>B5+KAPPA*(THETA-B5)</f>
        <v>0</v>
      </c>
      <c r="C6">
        <f>C5+KAPPA*(THETA-C5)</f>
        <v>0</v>
      </c>
    </row>
    <row r="7" spans="1:3">
      <c r="A7">
        <v>3</v>
      </c>
      <c r="B7">
        <f>B6+KAPPA*(THETA-B6)</f>
        <v>0</v>
      </c>
      <c r="C7">
        <f>C6+KAPPA*(THETA-C6)</f>
        <v>0</v>
      </c>
    </row>
    <row r="8" spans="1:3">
      <c r="A8">
        <v>4</v>
      </c>
      <c r="B8">
        <f>B7+KAPPA*(THETA-B7)</f>
        <v>0</v>
      </c>
      <c r="C8">
        <f>C7+KAPPA*(THETA-C7)</f>
        <v>0</v>
      </c>
    </row>
    <row r="9" spans="1:3">
      <c r="A9">
        <v>5</v>
      </c>
      <c r="B9">
        <f>B8+KAPPA*(THETA-B8)</f>
        <v>0</v>
      </c>
      <c r="C9">
        <f>C8+KAPPA*(THETA-C8)</f>
        <v>0</v>
      </c>
    </row>
    <row r="10" spans="1:3">
      <c r="A10">
        <v>6</v>
      </c>
      <c r="B10">
        <f>B9+KAPPA*(THETA-B9)</f>
        <v>0</v>
      </c>
      <c r="C10">
        <f>C9+KAPPA*(THETA-C9)</f>
        <v>0</v>
      </c>
    </row>
    <row r="11" spans="1:3">
      <c r="A11">
        <v>7</v>
      </c>
      <c r="B11">
        <f>B10+KAPPA*(THETA-B10)</f>
        <v>0</v>
      </c>
      <c r="C11">
        <f>C10+KAPPA*(THETA-C10)</f>
        <v>0</v>
      </c>
    </row>
    <row r="12" spans="1:3">
      <c r="A12">
        <v>8</v>
      </c>
      <c r="B12">
        <f>B11+KAPPA*(THETA-B11)</f>
        <v>0</v>
      </c>
      <c r="C12">
        <f>C11+KAPPA*(THETA-C11)</f>
        <v>0</v>
      </c>
    </row>
    <row r="13" spans="1:3">
      <c r="A13">
        <v>9</v>
      </c>
      <c r="B13">
        <f>B12+KAPPA*(THETA-B12)</f>
        <v>0</v>
      </c>
      <c r="C13">
        <f>C12+KAPPA*(THETA-C12)</f>
        <v>0</v>
      </c>
    </row>
    <row r="14" spans="1:3">
      <c r="A14">
        <v>10</v>
      </c>
      <c r="B14">
        <f>B13+KAPPA*(THETA-B13)</f>
        <v>0</v>
      </c>
      <c r="C14">
        <f>C13+KAPPA*(THETA-C13)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31</v>
      </c>
    </row>
    <row r="3" spans="1:10">
      <c r="A3" s="2" t="s">
        <v>28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</row>
    <row r="4" spans="1:10">
      <c r="A4">
        <v>0</v>
      </c>
      <c r="B4">
        <f>COHORT</f>
        <v>0</v>
      </c>
      <c r="C4">
        <f>B3*LAPSE*(A3&gt;0)</f>
        <v>0</v>
      </c>
      <c r="D4">
        <f>B3*QX*(A3&gt;0)</f>
        <v>0</v>
      </c>
      <c r="E4">
        <f>B3-C3-D3</f>
        <v>0</v>
      </c>
      <c r="F4">
        <f>E3</f>
        <v>0</v>
      </c>
      <c r="G4">
        <f>B3*PREM*(A3&gt;0)</f>
        <v>0</v>
      </c>
      <c r="H4">
        <f>D3*SUMINS</f>
        <v>0</v>
      </c>
      <c r="I4">
        <v>0</v>
      </c>
      <c r="J4">
        <f>B3*EXP*(1+INFL)^A3</f>
        <v>0</v>
      </c>
    </row>
    <row r="5" spans="1:10">
      <c r="A5">
        <v>1</v>
      </c>
      <c r="B5">
        <f>E4</f>
        <v>0</v>
      </c>
      <c r="C5">
        <f>B4*LAPSE*(A4&gt;0)</f>
        <v>0</v>
      </c>
      <c r="D5">
        <f>B4*QX*(A4&gt;0)</f>
        <v>0</v>
      </c>
      <c r="E5">
        <f>B4-C4-D4</f>
        <v>0</v>
      </c>
      <c r="F5">
        <f>E4</f>
        <v>0</v>
      </c>
      <c r="G5">
        <f>B4*PREM*(A4&gt;0)</f>
        <v>0</v>
      </c>
      <c r="H5">
        <f>D4*SUMINS</f>
        <v>0</v>
      </c>
      <c r="I5">
        <f>H3</f>
        <v>0</v>
      </c>
      <c r="J5">
        <f>B4*EXP*(1+INFL)^A4</f>
        <v>0</v>
      </c>
    </row>
    <row r="6" spans="1:10">
      <c r="A6">
        <v>2</v>
      </c>
      <c r="B6">
        <f>E5</f>
        <v>0</v>
      </c>
      <c r="C6">
        <f>B5*LAPSE*(A5&gt;0)</f>
        <v>0</v>
      </c>
      <c r="D6">
        <f>B5*QX*(A5&gt;0)</f>
        <v>0</v>
      </c>
      <c r="E6">
        <f>B5-C5-D5</f>
        <v>0</v>
      </c>
      <c r="F6">
        <f>E5</f>
        <v>0</v>
      </c>
      <c r="G6">
        <f>B5*PREM*(A5&gt;0)</f>
        <v>0</v>
      </c>
      <c r="H6">
        <f>D5*SUMINS</f>
        <v>0</v>
      </c>
      <c r="I6">
        <f>H4</f>
        <v>0</v>
      </c>
      <c r="J6">
        <f>B5*EXP*(1+INFL)^A5</f>
        <v>0</v>
      </c>
    </row>
    <row r="7" spans="1:10">
      <c r="A7">
        <v>3</v>
      </c>
      <c r="B7">
        <f>E6</f>
        <v>0</v>
      </c>
      <c r="C7">
        <f>B6*LAPSE*(A6&gt;0)</f>
        <v>0</v>
      </c>
      <c r="D7">
        <f>B6*QX*(A6&gt;0)</f>
        <v>0</v>
      </c>
      <c r="E7">
        <f>B6-C6-D6</f>
        <v>0</v>
      </c>
      <c r="F7">
        <f>E6</f>
        <v>0</v>
      </c>
      <c r="G7">
        <f>B6*PREM*(A6&gt;0)</f>
        <v>0</v>
      </c>
      <c r="H7">
        <f>D6*SUMINS</f>
        <v>0</v>
      </c>
      <c r="I7">
        <f>H5</f>
        <v>0</v>
      </c>
      <c r="J7">
        <f>B6*EXP*(1+INFL)^A6</f>
        <v>0</v>
      </c>
    </row>
    <row r="8" spans="1:10">
      <c r="A8">
        <v>4</v>
      </c>
      <c r="B8">
        <f>E7</f>
        <v>0</v>
      </c>
      <c r="C8">
        <f>B7*LAPSE*(A7&gt;0)</f>
        <v>0</v>
      </c>
      <c r="D8">
        <f>B7*QX*(A7&gt;0)</f>
        <v>0</v>
      </c>
      <c r="E8">
        <f>B7-C7-D7</f>
        <v>0</v>
      </c>
      <c r="F8">
        <f>E7</f>
        <v>0</v>
      </c>
      <c r="G8">
        <f>B7*PREM*(A7&gt;0)</f>
        <v>0</v>
      </c>
      <c r="H8">
        <f>D7*SUMINS</f>
        <v>0</v>
      </c>
      <c r="I8">
        <f>H6</f>
        <v>0</v>
      </c>
      <c r="J8">
        <f>B7*EXP*(1+INFL)^A7</f>
        <v>0</v>
      </c>
    </row>
    <row r="9" spans="1:10">
      <c r="A9">
        <v>5</v>
      </c>
      <c r="B9">
        <f>E8</f>
        <v>0</v>
      </c>
      <c r="C9">
        <f>B8*LAPSE*(A8&gt;0)</f>
        <v>0</v>
      </c>
      <c r="D9">
        <f>B8*QX*(A8&gt;0)</f>
        <v>0</v>
      </c>
      <c r="E9">
        <f>B8-C8-D8</f>
        <v>0</v>
      </c>
      <c r="F9">
        <f>E8</f>
        <v>0</v>
      </c>
      <c r="G9">
        <f>B8*PREM*(A8&gt;0)</f>
        <v>0</v>
      </c>
      <c r="H9">
        <f>D8*SUMINS</f>
        <v>0</v>
      </c>
      <c r="I9">
        <f>H7</f>
        <v>0</v>
      </c>
      <c r="J9">
        <f>B8*EXP*(1+INFL)^A8</f>
        <v>0</v>
      </c>
    </row>
    <row r="10" spans="1:10">
      <c r="A10">
        <v>6</v>
      </c>
      <c r="B10">
        <f>E9</f>
        <v>0</v>
      </c>
      <c r="C10">
        <f>B9*LAPSE*(A9&gt;0)</f>
        <v>0</v>
      </c>
      <c r="D10">
        <f>B9*QX*(A9&gt;0)</f>
        <v>0</v>
      </c>
      <c r="E10">
        <f>B9-C9-D9</f>
        <v>0</v>
      </c>
      <c r="F10">
        <f>E9</f>
        <v>0</v>
      </c>
      <c r="G10">
        <f>B9*PREM*(A9&gt;0)</f>
        <v>0</v>
      </c>
      <c r="H10">
        <f>D9*SUMINS</f>
        <v>0</v>
      </c>
      <c r="I10">
        <f>H8</f>
        <v>0</v>
      </c>
      <c r="J10">
        <f>B9*EXP*(1+INFL)^A9</f>
        <v>0</v>
      </c>
    </row>
    <row r="11" spans="1:10">
      <c r="A11">
        <v>7</v>
      </c>
      <c r="B11">
        <f>E10</f>
        <v>0</v>
      </c>
      <c r="C11">
        <f>B10*LAPSE*(A10&gt;0)</f>
        <v>0</v>
      </c>
      <c r="D11">
        <f>B10*QX*(A10&gt;0)</f>
        <v>0</v>
      </c>
      <c r="E11">
        <f>B10-C10-D10</f>
        <v>0</v>
      </c>
      <c r="F11">
        <f>E10</f>
        <v>0</v>
      </c>
      <c r="G11">
        <f>B10*PREM*(A10&gt;0)</f>
        <v>0</v>
      </c>
      <c r="H11">
        <f>D10*SUMINS</f>
        <v>0</v>
      </c>
      <c r="I11">
        <f>H9</f>
        <v>0</v>
      </c>
      <c r="J11">
        <f>B10*EXP*(1+INFL)^A10</f>
        <v>0</v>
      </c>
    </row>
    <row r="12" spans="1:10">
      <c r="A12">
        <v>8</v>
      </c>
      <c r="B12">
        <f>E11</f>
        <v>0</v>
      </c>
      <c r="C12">
        <f>B11*LAPSE*(A11&gt;0)</f>
        <v>0</v>
      </c>
      <c r="D12">
        <f>B11*QX*(A11&gt;0)</f>
        <v>0</v>
      </c>
      <c r="E12">
        <f>B11-C11-D11</f>
        <v>0</v>
      </c>
      <c r="F12">
        <f>E11</f>
        <v>0</v>
      </c>
      <c r="G12">
        <f>B11*PREM*(A11&gt;0)</f>
        <v>0</v>
      </c>
      <c r="H12">
        <f>D11*SUMINS</f>
        <v>0</v>
      </c>
      <c r="I12">
        <f>H10</f>
        <v>0</v>
      </c>
      <c r="J12">
        <f>B11*EXP*(1+INFL)^A11</f>
        <v>0</v>
      </c>
    </row>
    <row r="13" spans="1:10">
      <c r="A13">
        <v>9</v>
      </c>
      <c r="B13">
        <f>E12</f>
        <v>0</v>
      </c>
      <c r="C13">
        <f>B12*LAPSE*(A12&gt;0)</f>
        <v>0</v>
      </c>
      <c r="D13">
        <f>B12*QX*(A12&gt;0)</f>
        <v>0</v>
      </c>
      <c r="E13">
        <f>B12-C12-D12</f>
        <v>0</v>
      </c>
      <c r="F13">
        <f>E12</f>
        <v>0</v>
      </c>
      <c r="G13">
        <f>B12*PREM*(A12&gt;0)</f>
        <v>0</v>
      </c>
      <c r="H13">
        <f>D12*SUMINS</f>
        <v>0</v>
      </c>
      <c r="I13">
        <f>H11</f>
        <v>0</v>
      </c>
      <c r="J13">
        <f>B12*EXP*(1+INFL)^A12</f>
        <v>0</v>
      </c>
    </row>
    <row r="14" spans="1:10">
      <c r="A14">
        <v>10</v>
      </c>
      <c r="B14">
        <f>E13</f>
        <v>0</v>
      </c>
      <c r="C14">
        <f>B13*LAPSE*(A13&gt;0)</f>
        <v>0</v>
      </c>
      <c r="D14">
        <f>B13*QX*(A13&gt;0)</f>
        <v>0</v>
      </c>
      <c r="E14">
        <f>B13-C13-D13</f>
        <v>0</v>
      </c>
      <c r="F14">
        <f>E13</f>
        <v>0</v>
      </c>
      <c r="G14">
        <f>B13*PREM*(A13&gt;0)</f>
        <v>0</v>
      </c>
      <c r="H14">
        <f>D13*SUMINS</f>
        <v>0</v>
      </c>
      <c r="I14">
        <f>H12</f>
        <v>0</v>
      </c>
      <c r="J14">
        <f>B13*EXP*(1+INFL)^A13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41</v>
      </c>
    </row>
    <row r="3" spans="1:5">
      <c r="A3" s="2" t="s">
        <v>28</v>
      </c>
      <c r="B3" s="2" t="s">
        <v>29</v>
      </c>
      <c r="C3" s="2" t="s">
        <v>42</v>
      </c>
      <c r="D3" s="2" t="s">
        <v>43</v>
      </c>
      <c r="E3" s="2" t="s">
        <v>44</v>
      </c>
    </row>
    <row r="4" spans="1:5">
      <c r="A4">
        <v>0</v>
      </c>
      <c r="B4">
        <f>INDEX(R_BASE,1)</f>
        <v>0</v>
      </c>
      <c r="C4">
        <v>1</v>
      </c>
      <c r="D4">
        <f>INDEX(R_STRESS,1)</f>
        <v>0</v>
      </c>
      <c r="E4">
        <v>1</v>
      </c>
    </row>
    <row r="5" spans="1:5">
      <c r="A5">
        <v>1</v>
      </c>
      <c r="B5">
        <f>INDEX(R_BASE,2)</f>
        <v>0</v>
      </c>
      <c r="C5">
        <f>C3*EXP(-B3)</f>
        <v>0</v>
      </c>
      <c r="D5">
        <f>INDEX(R_STRESS,2)</f>
        <v>0</v>
      </c>
      <c r="E5">
        <f>E3*EXP(-D3)</f>
        <v>0</v>
      </c>
    </row>
    <row r="6" spans="1:5">
      <c r="A6">
        <v>2</v>
      </c>
      <c r="B6">
        <f>INDEX(R_BASE,3)</f>
        <v>0</v>
      </c>
      <c r="C6">
        <f>C4*EXP(-B4)</f>
        <v>0</v>
      </c>
      <c r="D6">
        <f>INDEX(R_STRESS,3)</f>
        <v>0</v>
      </c>
      <c r="E6">
        <f>E4*EXP(-D4)</f>
        <v>0</v>
      </c>
    </row>
    <row r="7" spans="1:5">
      <c r="A7">
        <v>3</v>
      </c>
      <c r="B7">
        <f>INDEX(R_BASE,4)</f>
        <v>0</v>
      </c>
      <c r="C7">
        <f>C5*EXP(-B5)</f>
        <v>0</v>
      </c>
      <c r="D7">
        <f>INDEX(R_STRESS,4)</f>
        <v>0</v>
      </c>
      <c r="E7">
        <f>E5*EXP(-D5)</f>
        <v>0</v>
      </c>
    </row>
    <row r="8" spans="1:5">
      <c r="A8">
        <v>4</v>
      </c>
      <c r="B8">
        <f>INDEX(R_BASE,5)</f>
        <v>0</v>
      </c>
      <c r="C8">
        <f>C6*EXP(-B6)</f>
        <v>0</v>
      </c>
      <c r="D8">
        <f>INDEX(R_STRESS,5)</f>
        <v>0</v>
      </c>
      <c r="E8">
        <f>E6*EXP(-D6)</f>
        <v>0</v>
      </c>
    </row>
    <row r="9" spans="1:5">
      <c r="A9">
        <v>5</v>
      </c>
      <c r="B9">
        <f>INDEX(R_BASE,6)</f>
        <v>0</v>
      </c>
      <c r="C9">
        <f>C7*EXP(-B7)</f>
        <v>0</v>
      </c>
      <c r="D9">
        <f>INDEX(R_STRESS,6)</f>
        <v>0</v>
      </c>
      <c r="E9">
        <f>E7*EXP(-D7)</f>
        <v>0</v>
      </c>
    </row>
    <row r="10" spans="1:5">
      <c r="A10">
        <v>6</v>
      </c>
      <c r="B10">
        <f>INDEX(R_BASE,7)</f>
        <v>0</v>
      </c>
      <c r="C10">
        <f>C8*EXP(-B8)</f>
        <v>0</v>
      </c>
      <c r="D10">
        <f>INDEX(R_STRESS,7)</f>
        <v>0</v>
      </c>
      <c r="E10">
        <f>E8*EXP(-D8)</f>
        <v>0</v>
      </c>
    </row>
    <row r="11" spans="1:5">
      <c r="A11">
        <v>7</v>
      </c>
      <c r="B11">
        <f>INDEX(R_BASE,8)</f>
        <v>0</v>
      </c>
      <c r="C11">
        <f>C9*EXP(-B9)</f>
        <v>0</v>
      </c>
      <c r="D11">
        <f>INDEX(R_STRESS,8)</f>
        <v>0</v>
      </c>
      <c r="E11">
        <f>E9*EXP(-D9)</f>
        <v>0</v>
      </c>
    </row>
    <row r="12" spans="1:5">
      <c r="A12">
        <v>8</v>
      </c>
      <c r="B12">
        <f>INDEX(R_BASE,9)</f>
        <v>0</v>
      </c>
      <c r="C12">
        <f>C10*EXP(-B10)</f>
        <v>0</v>
      </c>
      <c r="D12">
        <f>INDEX(R_STRESS,9)</f>
        <v>0</v>
      </c>
      <c r="E12">
        <f>E10*EXP(-D10)</f>
        <v>0</v>
      </c>
    </row>
    <row r="13" spans="1:5">
      <c r="A13">
        <v>9</v>
      </c>
      <c r="B13">
        <f>INDEX(R_BASE,10)</f>
        <v>0</v>
      </c>
      <c r="C13">
        <f>C11*EXP(-B11)</f>
        <v>0</v>
      </c>
      <c r="D13">
        <f>INDEX(R_STRESS,10)</f>
        <v>0</v>
      </c>
      <c r="E13">
        <f>E11*EXP(-D11)</f>
        <v>0</v>
      </c>
    </row>
    <row r="14" spans="1:5">
      <c r="A14">
        <v>10</v>
      </c>
      <c r="B14">
        <f>INDEX(R_BASE,11)</f>
        <v>0</v>
      </c>
      <c r="C14">
        <f>C12*EXP(-B12)</f>
        <v>0</v>
      </c>
      <c r="D14">
        <f>INDEX(R_STRESS,11)</f>
        <v>0</v>
      </c>
      <c r="E14">
        <f>E12*EXP(-D12)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45</v>
      </c>
    </row>
    <row r="3" spans="1:9">
      <c r="A3" s="2" t="s">
        <v>28</v>
      </c>
      <c r="B3" s="2" t="s">
        <v>37</v>
      </c>
      <c r="C3" s="2" t="s">
        <v>40</v>
      </c>
      <c r="D3" s="2" t="s">
        <v>39</v>
      </c>
      <c r="E3" s="2" t="s">
        <v>46</v>
      </c>
      <c r="F3" s="2" t="s">
        <v>42</v>
      </c>
      <c r="G3" s="2" t="s">
        <v>47</v>
      </c>
      <c r="H3" s="2" t="s">
        <v>44</v>
      </c>
      <c r="I3" s="2" t="s">
        <v>48</v>
      </c>
    </row>
    <row r="4" spans="1:9">
      <c r="A4">
        <v>0</v>
      </c>
      <c r="B4">
        <f>INDEX(PREM_SER,1)</f>
        <v>0</v>
      </c>
      <c r="C4">
        <f>INDEX(EXP_SER,1)</f>
        <v>0</v>
      </c>
      <c r="D4">
        <f>INDEX(CLAIMS_PAID,1)</f>
        <v>0</v>
      </c>
      <c r="E4">
        <f>B3-C3-D3</f>
        <v>0</v>
      </c>
      <c r="F4">
        <f>INDEX(DF_BASE,1)</f>
        <v>0</v>
      </c>
      <c r="G4">
        <f>E3*F3</f>
        <v>0</v>
      </c>
      <c r="H4">
        <f>INDEX(DF_STRESS,1)</f>
        <v>0</v>
      </c>
      <c r="I4">
        <f>E3*H3</f>
        <v>0</v>
      </c>
    </row>
    <row r="5" spans="1:9">
      <c r="A5">
        <v>1</v>
      </c>
      <c r="B5">
        <f>INDEX(PREM_SER,2)</f>
        <v>0</v>
      </c>
      <c r="C5">
        <f>INDEX(EXP_SER,2)</f>
        <v>0</v>
      </c>
      <c r="D5">
        <f>INDEX(CLAIMS_PAID,2)</f>
        <v>0</v>
      </c>
      <c r="E5">
        <f>B4-C4-D4</f>
        <v>0</v>
      </c>
      <c r="F5">
        <f>INDEX(DF_BASE,2)</f>
        <v>0</v>
      </c>
      <c r="G5">
        <f>E4*F4</f>
        <v>0</v>
      </c>
      <c r="H5">
        <f>INDEX(DF_STRESS,2)</f>
        <v>0</v>
      </c>
      <c r="I5">
        <f>E4*H4</f>
        <v>0</v>
      </c>
    </row>
    <row r="6" spans="1:9">
      <c r="A6">
        <v>2</v>
      </c>
      <c r="B6">
        <f>INDEX(PREM_SER,3)</f>
        <v>0</v>
      </c>
      <c r="C6">
        <f>INDEX(EXP_SER,3)</f>
        <v>0</v>
      </c>
      <c r="D6">
        <f>INDEX(CLAIMS_PAID,3)</f>
        <v>0</v>
      </c>
      <c r="E6">
        <f>B5-C5-D5</f>
        <v>0</v>
      </c>
      <c r="F6">
        <f>INDEX(DF_BASE,3)</f>
        <v>0</v>
      </c>
      <c r="G6">
        <f>E5*F5</f>
        <v>0</v>
      </c>
      <c r="H6">
        <f>INDEX(DF_STRESS,3)</f>
        <v>0</v>
      </c>
      <c r="I6">
        <f>E5*H5</f>
        <v>0</v>
      </c>
    </row>
    <row r="7" spans="1:9">
      <c r="A7">
        <v>3</v>
      </c>
      <c r="B7">
        <f>INDEX(PREM_SER,4)</f>
        <v>0</v>
      </c>
      <c r="C7">
        <f>INDEX(EXP_SER,4)</f>
        <v>0</v>
      </c>
      <c r="D7">
        <f>INDEX(CLAIMS_PAID,4)</f>
        <v>0</v>
      </c>
      <c r="E7">
        <f>B6-C6-D6</f>
        <v>0</v>
      </c>
      <c r="F7">
        <f>INDEX(DF_BASE,4)</f>
        <v>0</v>
      </c>
      <c r="G7">
        <f>E6*F6</f>
        <v>0</v>
      </c>
      <c r="H7">
        <f>INDEX(DF_STRESS,4)</f>
        <v>0</v>
      </c>
      <c r="I7">
        <f>E6*H6</f>
        <v>0</v>
      </c>
    </row>
    <row r="8" spans="1:9">
      <c r="A8">
        <v>4</v>
      </c>
      <c r="B8">
        <f>INDEX(PREM_SER,5)</f>
        <v>0</v>
      </c>
      <c r="C8">
        <f>INDEX(EXP_SER,5)</f>
        <v>0</v>
      </c>
      <c r="D8">
        <f>INDEX(CLAIMS_PAID,5)</f>
        <v>0</v>
      </c>
      <c r="E8">
        <f>B7-C7-D7</f>
        <v>0</v>
      </c>
      <c r="F8">
        <f>INDEX(DF_BASE,5)</f>
        <v>0</v>
      </c>
      <c r="G8">
        <f>E7*F7</f>
        <v>0</v>
      </c>
      <c r="H8">
        <f>INDEX(DF_STRESS,5)</f>
        <v>0</v>
      </c>
      <c r="I8">
        <f>E7*H7</f>
        <v>0</v>
      </c>
    </row>
    <row r="9" spans="1:9">
      <c r="A9">
        <v>5</v>
      </c>
      <c r="B9">
        <f>INDEX(PREM_SER,6)</f>
        <v>0</v>
      </c>
      <c r="C9">
        <f>INDEX(EXP_SER,6)</f>
        <v>0</v>
      </c>
      <c r="D9">
        <f>INDEX(CLAIMS_PAID,6)</f>
        <v>0</v>
      </c>
      <c r="E9">
        <f>B8-C8-D8</f>
        <v>0</v>
      </c>
      <c r="F9">
        <f>INDEX(DF_BASE,6)</f>
        <v>0</v>
      </c>
      <c r="G9">
        <f>E8*F8</f>
        <v>0</v>
      </c>
      <c r="H9">
        <f>INDEX(DF_STRESS,6)</f>
        <v>0</v>
      </c>
      <c r="I9">
        <f>E8*H8</f>
        <v>0</v>
      </c>
    </row>
    <row r="10" spans="1:9">
      <c r="A10">
        <v>6</v>
      </c>
      <c r="B10">
        <f>INDEX(PREM_SER,7)</f>
        <v>0</v>
      </c>
      <c r="C10">
        <f>INDEX(EXP_SER,7)</f>
        <v>0</v>
      </c>
      <c r="D10">
        <f>INDEX(CLAIMS_PAID,7)</f>
        <v>0</v>
      </c>
      <c r="E10">
        <f>B9-C9-D9</f>
        <v>0</v>
      </c>
      <c r="F10">
        <f>INDEX(DF_BASE,7)</f>
        <v>0</v>
      </c>
      <c r="G10">
        <f>E9*F9</f>
        <v>0</v>
      </c>
      <c r="H10">
        <f>INDEX(DF_STRESS,7)</f>
        <v>0</v>
      </c>
      <c r="I10">
        <f>E9*H9</f>
        <v>0</v>
      </c>
    </row>
    <row r="11" spans="1:9">
      <c r="A11">
        <v>7</v>
      </c>
      <c r="B11">
        <f>INDEX(PREM_SER,8)</f>
        <v>0</v>
      </c>
      <c r="C11">
        <f>INDEX(EXP_SER,8)</f>
        <v>0</v>
      </c>
      <c r="D11">
        <f>INDEX(CLAIMS_PAID,8)</f>
        <v>0</v>
      </c>
      <c r="E11">
        <f>B10-C10-D10</f>
        <v>0</v>
      </c>
      <c r="F11">
        <f>INDEX(DF_BASE,8)</f>
        <v>0</v>
      </c>
      <c r="G11">
        <f>E10*F10</f>
        <v>0</v>
      </c>
      <c r="H11">
        <f>INDEX(DF_STRESS,8)</f>
        <v>0</v>
      </c>
      <c r="I11">
        <f>E10*H10</f>
        <v>0</v>
      </c>
    </row>
    <row r="12" spans="1:9">
      <c r="A12">
        <v>8</v>
      </c>
      <c r="B12">
        <f>INDEX(PREM_SER,9)</f>
        <v>0</v>
      </c>
      <c r="C12">
        <f>INDEX(EXP_SER,9)</f>
        <v>0</v>
      </c>
      <c r="D12">
        <f>INDEX(CLAIMS_PAID,9)</f>
        <v>0</v>
      </c>
      <c r="E12">
        <f>B11-C11-D11</f>
        <v>0</v>
      </c>
      <c r="F12">
        <f>INDEX(DF_BASE,9)</f>
        <v>0</v>
      </c>
      <c r="G12">
        <f>E11*F11</f>
        <v>0</v>
      </c>
      <c r="H12">
        <f>INDEX(DF_STRESS,9)</f>
        <v>0</v>
      </c>
      <c r="I12">
        <f>E11*H11</f>
        <v>0</v>
      </c>
    </row>
    <row r="13" spans="1:9">
      <c r="A13">
        <v>9</v>
      </c>
      <c r="B13">
        <f>INDEX(PREM_SER,10)</f>
        <v>0</v>
      </c>
      <c r="C13">
        <f>INDEX(EXP_SER,10)</f>
        <v>0</v>
      </c>
      <c r="D13">
        <f>INDEX(CLAIMS_PAID,10)</f>
        <v>0</v>
      </c>
      <c r="E13">
        <f>B12-C12-D12</f>
        <v>0</v>
      </c>
      <c r="F13">
        <f>INDEX(DF_BASE,10)</f>
        <v>0</v>
      </c>
      <c r="G13">
        <f>E12*F12</f>
        <v>0</v>
      </c>
      <c r="H13">
        <f>INDEX(DF_STRESS,10)</f>
        <v>0</v>
      </c>
      <c r="I13">
        <f>E12*H12</f>
        <v>0</v>
      </c>
    </row>
    <row r="14" spans="1:9">
      <c r="A14">
        <v>10</v>
      </c>
      <c r="B14">
        <f>INDEX(PREM_SER,11)</f>
        <v>0</v>
      </c>
      <c r="C14">
        <f>INDEX(EXP_SER,11)</f>
        <v>0</v>
      </c>
      <c r="D14">
        <f>INDEX(CLAIMS_PAID,11)</f>
        <v>0</v>
      </c>
      <c r="E14">
        <f>B13-C13-D13</f>
        <v>0</v>
      </c>
      <c r="F14">
        <f>INDEX(DF_BASE,11)</f>
        <v>0</v>
      </c>
      <c r="G14">
        <f>E13*F13</f>
        <v>0</v>
      </c>
      <c r="H14">
        <f>INDEX(DF_STRESS,11)</f>
        <v>0</v>
      </c>
      <c r="I14">
        <f>E13*H13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49</v>
      </c>
    </row>
    <row r="3" spans="1:8">
      <c r="A3" s="2" t="s">
        <v>28</v>
      </c>
      <c r="B3" s="2" t="s">
        <v>36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25</vt:i4>
      </vt:variant>
    </vt:vector>
  </HeadingPairs>
  <TitlesOfParts>
    <vt:vector size="31" baseType="lpstr">
      <vt:lpstr>Setup</vt:lpstr>
      <vt:lpstr>CIR</vt:lpstr>
      <vt:lpstr>Projection</vt:lpstr>
      <vt:lpstr>Discount</vt:lpstr>
      <vt:lpstr>PV</vt:lpstr>
      <vt:lpstr>CSM</vt:lpstr>
      <vt:lpstr>ACQ</vt:lpstr>
      <vt:lpstr>CLAIMS_INC</vt:lpstr>
      <vt:lpstr>CLAIMS_PAID</vt:lpstr>
      <vt:lpstr>COHORT</vt:lpstr>
      <vt:lpstr>COMM_PCT</vt:lpstr>
      <vt:lpstr>CU</vt:lpstr>
      <vt:lpstr>DF_BASE</vt:lpstr>
      <vt:lpstr>DF_STRESS</vt:lpstr>
      <vt:lpstr>EXP</vt:lpstr>
      <vt:lpstr>EXP_SER</vt:lpstr>
      <vt:lpstr>INFL</vt:lpstr>
      <vt:lpstr>KAPPA</vt:lpstr>
      <vt:lpstr>LAPSE</vt:lpstr>
      <vt:lpstr>LOCKIN</vt:lpstr>
      <vt:lpstr>PREM</vt:lpstr>
      <vt:lpstr>PREM_SER</vt:lpstr>
      <vt:lpstr>QX</vt:lpstr>
      <vt:lpstr>R_BASE</vt:lpstr>
      <vt:lpstr>R_STRESS</vt:lpstr>
      <vt:lpstr>RA_PCT</vt:lpstr>
      <vt:lpstr>SIGMA</vt:lpstr>
      <vt:lpstr>STRESS_BP</vt:lpstr>
      <vt:lpstr>SUMINS</vt:lpstr>
      <vt:lpstr>TERM</vt:lpstr>
      <vt:lpstr>THETA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2025-08-08T22:16:35Z</dcterms:created>
  <dcterms:modified xsi:type="dcterms:W3CDTF">2025-08-08T22:16:35Z</dcterms:modified>
</cp:coreProperties>
</file>