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40"/>
  </bookViews>
  <sheets>
    <sheet name="Employment Projections" sheetId="1" r:id="rId1"/>
  </sheets>
  <calcPr calcId="144525" calcCompleted="0" calcOnSave="0" concurrentCalc="0"/>
</workbook>
</file>

<file path=xl/sharedStrings.xml><?xml version="1.0" encoding="utf-8"?>
<sst xmlns="http://schemas.openxmlformats.org/spreadsheetml/2006/main" count="864">
  <si>
    <t>Occupation Title</t>
  </si>
  <si>
    <t>Occupation Code</t>
  </si>
  <si>
    <t>Employment 2021</t>
  </si>
  <si>
    <t>Employment 2031</t>
  </si>
  <si>
    <t>Employment Change, 2021-2031</t>
  </si>
  <si>
    <t>Employment Percent Change, 2021-2031</t>
  </si>
  <si>
    <t>Occupational Openings, 2021-2031 Annual Average</t>
  </si>
  <si>
    <t>Median Annual Wage 2021</t>
  </si>
  <si>
    <t>Typical Entry-Level Education</t>
  </si>
  <si>
    <t>Education Code</t>
  </si>
  <si>
    <t>Work Experience in a Related Occupation</t>
  </si>
  <si>
    <t>Workex Code</t>
  </si>
  <si>
    <t>Typical on-the-job Training</t>
  </si>
  <si>
    <t>trCode</t>
  </si>
  <si>
    <t>Accountants and auditors    * Account Auditor* Accountant* Auditor* Auditor-In-Charge* CPA* Certified Public Accountant* Cost Accountant* Field Auditor* Financial Accountant* Financial Auditor* Fund Accountant* Internal Auditor* Payroll Auditor* Tax Accountant</t>
  </si>
  <si>
    <t>Bachelor's degree</t>
  </si>
  <si>
    <t>None</t>
  </si>
  <si>
    <t>Actors    * Actor Understudy* Actress* Dramatic Reader* Elocutionist* Monologist* Vaudeville Actor* Voice-Over Artist</t>
  </si>
  <si>
    <t>N/A</t>
  </si>
  <si>
    <t>Some college, no degree</t>
  </si>
  <si>
    <t>Long-term on-the-job training</t>
  </si>
  <si>
    <t>Actuaries    * Actuarial Associate* Actuarial Mathematician* Health Actuary* Insurance Actuary* Pricing Actuary* Product Development Actuary</t>
  </si>
  <si>
    <t>Acupuncturists</t>
  </si>
  <si>
    <t>Master's degree</t>
  </si>
  <si>
    <t>Adhesive bonding machine operators and tenders    * Glue Line Operator* Glue Machine Operator* Glue Reel Operator* Paper Gluing Operator</t>
  </si>
  <si>
    <t>High school diploma or equivalent</t>
  </si>
  <si>
    <t>Moderate-term on-the-job training</t>
  </si>
  <si>
    <t>Administrative law judges, adjudicators, and hearing officers    * Appeals Examiner* Appeals Referee* Appellate Conferee* Hearing Examiner* Hearing Officer* Justice of The Peace* Traffic Court Referee</t>
  </si>
  <si>
    <t>Doctoral or professional degree</t>
  </si>
  <si>
    <t>5 years or more</t>
  </si>
  <si>
    <t>Short-term on-the-job training</t>
  </si>
  <si>
    <t>Administrative services managers</t>
  </si>
  <si>
    <t>Less than 5 years</t>
  </si>
  <si>
    <t>Adult basic education, adult secondary education, and english as a second language instructors    * Adult Basic Studies Teacher* Adult Education Teacher* Adult Literacy Instructor* Adult Literacy Teacher* Adult Remedial Education Instructor* GED Instructor* General Educational Development (GED) Teacher* General Educational Development Teacher</t>
  </si>
  <si>
    <t>Advertising and promotions managers    * Advertising Director* Advertising Executive* Advertising Manager* Classified Advertising Manager* Promotion Manager* Promotions Director* VP Advertising* VP Promotions</t>
  </si>
  <si>
    <t>Advertising sales agents    * Advertising Account Executive* Advertising Agent* Advertising Solicitor* Display Advertising Sales Representative* Inside Sales Advertising Executive* Outside Sales Advertising Executive* Radio Time Salesperson* Signs and Displays Salesperson* Yellow Pages Space Salesperson</t>
  </si>
  <si>
    <t>Aerospace engineering and operations technologists and technicians    * Altitude Chamber Technician* Flight Data Technician* Wind Tunnel Technician</t>
  </si>
  <si>
    <t>Associate's degree</t>
  </si>
  <si>
    <t>Aerospace engineers    * Aerodynamics Engineer* Aeronautical Engineer* Aerospace Engineer* Aircraft Design Engineer* Aircraft Designer* Aircraft Engineer* Astronautical Engineer* Flight Systems Test Engineer* Flight Test Engineer* Wind Tunnel Engineer</t>
  </si>
  <si>
    <t>Agents and business managers of artists, performers, and athletes    * Artist Manager* Artist Representative* Author's Agent* Band Manager* Booking Agent* Booking Manager* Fight Manager* Literary Agent* Modeling Agent* Talent Agent* Talent Manager* Theatrical Agent</t>
  </si>
  <si>
    <t>Agricultural engineers    * Agricultural Engineer* Agricultural Production Engineer* Agricultural Research Engineer* Farm Equipment Engineer* Research Agricultural Engineer</t>
  </si>
  <si>
    <t>Agricultural equipment operators    * Cane Flume Chute Operator* Combine Driver* Combine Operator* Corn Detasseler Machine Operator* Cotton Ginner* Cotton Picker Operator* Custom Harvester* Farm Tractor Operator* Hay Baler* Hay Stacker Operator* Rake Operator* Replanting Machine Operator* Tractor Operator* Wheat Combine Driver</t>
  </si>
  <si>
    <t>No formal educational credential</t>
  </si>
  <si>
    <t>Agricultural inspectors    * Cattle Examiner* Cattle Inspector* Grain Sampler* Meat and Poultry Inspector* Milk Tester* Wheat Inspector</t>
  </si>
  <si>
    <t>Agricultural sciences teachers, postsecondary    * Agricultural Soil Conservation Professor* Agronomy Professor* Animal Husbandry Professor* Animal Science Professor* Aquaculture and Fisheries Professor* Farm Management Professor* Floriculture Professor* Horticulture Instructor* Olericulture Professor</t>
  </si>
  <si>
    <t>Agricultural technicians</t>
  </si>
  <si>
    <t>Agricultural workers, all other    * Crop Scout* Irrigation Worker* Livestock Showman</t>
  </si>
  <si>
    <t>Air traffic controllers    * Air Traffic Control Operator* Air Traffic Control Specialist* Air Traffic Controller* Air Traffic Coordinator* Airport Tower Controller* Control Tower Operator* Enroute Controller</t>
  </si>
  <si>
    <t>Aircraft cargo handling supervisors</t>
  </si>
  <si>
    <t>Aircraft mechanics and service technicians    * A&amp;P Mechanic* Aircraft Engine Mechanic* Aircraft Engine Specialist* Airframe Mechanic* Airframe and Power Plant Mechanic* Airplane Rigger* FAA Certified Powerplant Mechanic* Flight Test Mechanic* Helicopter Mechanic* Jet Engine Mechanic* Propeller-Driven Airplane Mechanic</t>
  </si>
  <si>
    <t>Postsecondary nondegree award</t>
  </si>
  <si>
    <t>Aircraft service attendants</t>
  </si>
  <si>
    <t>Aircraft structure, surfaces, rigging, and systems assemblers    * Aircraft De-Icer Installer* Aircraft Fuselage Framer* Aircraft Layout Worker* Aircraft Line Assembler* Aircraft Part Assembler* Aircraft Riveter* Aircraft Sheet Metal Mechanic* Helicopter Airframe Mechanic* Propeller Layout Worker* Wing Coverer</t>
  </si>
  <si>
    <t>Airfield operations specialists    * Aviation Operations Specialist* Flight Operations Coordinator</t>
  </si>
  <si>
    <t>Airline pilots, copilots, and flight engineers    * Airline Captain* Airline Pilot* Airline Pilot Flight Instructor* Airline Pilot In Command* Airline Pilot Second In Command* Airline Transport Pilot* Charter Pilot (Air Transport Pilot Certificate Required)* Charter Pilot (Airline)* Regional Airline Pilot</t>
  </si>
  <si>
    <t>Ambulance drivers and attendants, except emergency medical technicians    * Ambulance Attendant* Emergency Medical Services (EMS) Driver* Emergency Medical Services Driver</t>
  </si>
  <si>
    <t>Amusement and recreation attendants    * Amusement Park Worker* Animal Ride Attendant* Arcade Attendant* Carnival Worker* Ferris Wheel Operator* Golf Caddy* Ice Rink Attendant* Ride Operator* Rides Attendant* Ski Lift Attendant* Ski Lift Operator* Sports Complex Attendant</t>
  </si>
  <si>
    <t>Anesthesiologists</t>
  </si>
  <si>
    <t>&gt;=208,000</t>
  </si>
  <si>
    <t>Internship/residency</t>
  </si>
  <si>
    <t>Animal breeders    * Animal Breeder* Cat Breeder* Dairy Husbandry Worker* Dog Breeder* Equine Breeder* Horse Breeder* Livestock Breeder* Poultry Inseminator* Stallion Manager</t>
  </si>
  <si>
    <t>Animal caretakers    * Animal Care Giver* Animal Care Technician* Animal Caregiver* Animal Daycare Provider* Animal Groomer* Animal Shelter Worker* Animal Sitter* Aquarist* Aquarium Tank Attendant* Cat and Dog Bather* Dog Bather* Dog Beautician* Dog Groomer* Dog Sitter* Horse Exerciser* Kennel Aide* Kennel Attendant* Kennel Helper* Kennel Worker* Pet Feeder* Pet Groomer* Pet Sitter* Pet Stylist* Zookeeper</t>
  </si>
  <si>
    <t>Animal control workers    * Animal Control Officer* Animal Cruelty Investigator* Animal Treatment Investigator* Animal Warden* Dog Catcher* Dog Warden* Humane Officer</t>
  </si>
  <si>
    <t>Animal scientists    * Animal Geneticist* Animal Nutritionist* Animal Scientist* Beef Cattle Nutritionist* Dairy Scientist* Poultry Scientist* Swine Genetics Researcher</t>
  </si>
  <si>
    <t>Animal trainers    * Animal Trainer* Dog Handler* Dog Trainer* Dolphin Trainer* Guide Dog Instructor* Guide Dog Mobility Instructor* Guide Dog Trainer* Horse Breaker* Licensed Guide Dog Instructor* Lion Trainer* Marine Mammal Trainer* Seeing Eye Dog Trainer</t>
  </si>
  <si>
    <t>Anthropologists and archeologists    * Anthropologist* Applied Anthropologist* Archaeologist* Ethnoarchaeologist* Medical Anthropologist* Physical Anthropologist* Political Anthropologist* Research Anthropologist* Research Archaeologist</t>
  </si>
  <si>
    <t>Anthropology and archeology teachers, postsecondary    * Cultural Anthropology Professor* Ethnoarchaeology Professor* Near East Archeology Professor* Paleology Professor* Sociocultural Anthropology Professor</t>
  </si>
  <si>
    <t>Arbitrators, mediators, and conciliators    * Alternative Dispute Resolution Coordinator* Mediation Commissioner* Ombudsman</t>
  </si>
  <si>
    <t>Architects, except landscape and naval    * Building Architect* Building Architectural Designer* Structural Architect</t>
  </si>
  <si>
    <t>Architectural and civil drafters    * Architectural Drafter* Building Drafter* Civil Computer-Aided Design and Drafting Technician* Civil Drafter* Structural Drafter</t>
  </si>
  <si>
    <t>Architectural and engineering managers    * Electrical Engineering Director* Engineering Design Manager* Engineering Manager* Engineering Research Manager* Global Engineering Manager* Mechanical Engineering Director* Process Engineering Manager</t>
  </si>
  <si>
    <t>Architecture teachers, postsecondary    * Architectural Design Professor* Architecture Professor* Interior Design Professor* Landscape Architecture Professor</t>
  </si>
  <si>
    <t>Archivists    * Archivist* Digital Archivist* Film Archivist* Historical Records Administrator* Image Archivist* Museum Archivist* Processing Archivist* Reference Archivist* State Archivist</t>
  </si>
  <si>
    <t>Area, ethnic, and cultural studies teachers, postsecondary    * African Studies Professor* Asian Studies Professor* Black Studies Professor* Ethnology Professor* Gender Studies Professor* Latin American Studies Professor* Women's Studies Professor</t>
  </si>
  <si>
    <t>Art directors    * Art Director* Magazine Designer</t>
  </si>
  <si>
    <t>Art, drama, and music teachers, postsecondary    * Ballet Professor* Graphic Design Professor* Music Professor* Photography Professor* Piano Performance and Pedagogy Professor* Piano Professor* Scene and Lighting Design Lecturer* Stagecraft Professor* Theatre Professor* Voice Professor</t>
  </si>
  <si>
    <t>Artists and related workers, all other    * Calligrapher* Tattoo Artist</t>
  </si>
  <si>
    <t>Astronomers    * Astronomer* Astrophysicist</t>
  </si>
  <si>
    <t>Athletes and sports competitors    * All Terrain Vehicle Racer* Athlete* Auto Racer* Baseball Pitcher* Baseball Player* Basketball Player* Bicycle Racer* Bicyclist* Billiard Player* Bowler* Bull Rider* Car Racer* Cyclist* Dirt Bike Racer* Drag Car Racer* Figure Skater* Football Player* Golfer* Hockey Player* Horse Racer* Ice Skater* Jockey* Kick Boxer* Motocross Racer* National Association for  Stock Car Auto Racing Driver* Prize Fighter* Professional Bass Fisher* Professional Soccer Player* Pugilist* Race Car Driver* Roller Skater* Skater* Skier* Snowboarder* Softball Player* Stock Car Driver* Surfer* Swimmer* Tennis Player* Volleyball Player* Wrestler</t>
  </si>
  <si>
    <t>Athletic trainers    * Athletic Trainer* Certified Athletic Trainer* Clinical Athletic Instructor* Resident Athletic Trainer</t>
  </si>
  <si>
    <t>Atmospheric and space scientists    * Atmospheric Chemist* Atmospheric Scientist* Climatologist* Hurricane Tracker* Meteorologist* Oceanographic Meteorologist* Space Scientist* Storm Chaser* Tornado Chaser* Warning Coordination Meteorologist* Weather Analyst* Weather Forecaster* Weatherman</t>
  </si>
  <si>
    <t>Atmospheric, earth, marine, and space sciences teachers, postsecondary    * Climatology Professor* Earth Science Professor* Geology Professor* Geoscience Professor* Meteorology Professor* Mineralogy Professor* Oceanic Sciences Professor* Oceanography Professor* Volcanology Professor</t>
  </si>
  <si>
    <t>Audio and video technicians    * Audio-Visual Production Specialist* Event AV Operator* Event Crew Technician* Multimedia Production Assistant* Video Control Operator* Video Equipment Technician* Video Production Assistant</t>
  </si>
  <si>
    <t>Audiologists    * Audiologist* Clinical Audiologist* Dispensing Audiologist* Educational Audiologist* Hearing Therapist* Licensed Audiologist* Pediatric Audiologist</t>
  </si>
  <si>
    <t>Audiovisual equipment installers and repairers    * Cable Installation Technician* Electric Organ Checker* Electronic Musical Instrument Repairer* Home Stereo Equipment Installer* Home Theater Installer* Satellite Dish Installer* Stereo Equipment Installer* Television Installer* Television Repairer* Wireless Internet Installer</t>
  </si>
  <si>
    <t>Automotive and watercraft service attendants    * Auto Service Station Attendant* Gas Pump Attendant* Gas Station Attendant* Gas and Oil Servicer* Oil Changer* Pump Jockey* Service Station Attendant</t>
  </si>
  <si>
    <t>Automotive body and related repairers    * Auto Body Customizer* Auto Body Technician* Auto Body Worker* Auto Bumper Straightener* Body Shop Worker* Body and Frame Technician* Car Refinisher* Truck Body Repairer* Vehicle Body Sander</t>
  </si>
  <si>
    <t>Automotive glass installers and repairers    * Auto Glass Installer* Auto Glass Mechanic* Automotive Glass Technician* Automotive Glazier* Windshield Installer* Windshield Repair Technician</t>
  </si>
  <si>
    <t>Automotive service technicians and mechanics    * Auto Clutch Rebuilder* Auto Clutch Specialist* Auto Radiator Specialist* Auto Suspension and Steering Mechanic* Auto Transmission Specialist* Automotive Alignment Specialist* Automotive Brake Adjuster* Automotive Brake Specialist* Automotive Brake Technician* Automotive Fuel Injection Servicer* Automotive Fuel Systems Converter* Automotive Specialty Technician* Hybrid Car Mechanic* Motor Tune-Up Specialist</t>
  </si>
  <si>
    <t>Avionics technicians    * Aircraft Armament Mechanic* Aircraft Electrician* Aircraft Instrument Mechanic* Airplane Electrician* Automatic Pilot Mechanic* Aviation Electronics Technician* In-Flight Refueling System Repairer</t>
  </si>
  <si>
    <t>Baggage porters and bellhops    * Baggage Porter* Bell Staff* Bellperson* Bellstaff* Hotel Baggage Handler* Luggage Attendant* Redcap* Skycap</t>
  </si>
  <si>
    <t>Bailiffs    * Bailiff* City Bailiff* County Bailiff* Court Bailiff* Court Officer* Court Security Officer* Deputy Bailiff</t>
  </si>
  <si>
    <t>Bakers    * Bagel Maker* Bread Baker* Dough Maker* Pastry Baker* Pastry Finisher* Pie Baker* Pie Maker</t>
  </si>
  <si>
    <t>Barbers    * Barber* Barber Apprentice* Master Barber</t>
  </si>
  <si>
    <t>Bartenders    * Barkeep* Bartender* Drink Mixer* Mixologist* Taproom Attendant</t>
  </si>
  <si>
    <t>Bicycle repairers    * Bicycle Mechanic* Bicycle Repairer* Bicycle Service Technician* Bike Mechanic</t>
  </si>
  <si>
    <t>Bill and account collectors    * Accounts Collector* Bill Collector* Billing Representative* Collection Agent* Collections Clerk* Collections Representative* Debt Collector* Installment Agent* Installment Loan Collector* Insurance Collector* Payment Collector* Repossessor</t>
  </si>
  <si>
    <t>Billing and posting clerks    * Billing Clerk* Invoice Clerk* Invoice Control Clerk* Patient Account Representative* Posting Clerk* Statement Clerk* Statement Distribution Clerk* Statement Processor</t>
  </si>
  <si>
    <t>Biochemists and biophysicists    * Biochemist* Biological Chemist* Biophysicist* Clinical Biochemist* Physical Biochemist</t>
  </si>
  <si>
    <t>Bioengineers and biomedical engineers    * Bio-Mechanical Engineer* Biochemical Engineer* Biomaterials Engineer* Biomedical Engineer* Dialysis Engineer* Genetic Engineer</t>
  </si>
  <si>
    <t>Biological science teachers, postsecondary    * Anatomy Professor* Bacteriology Professor* Biochemistry Professor* Botany Professor* Embryology Professor* Microbiology Professor* Zoology Professor</t>
  </si>
  <si>
    <t>Biological scientists, all other    * Biologist* Bryologist* Embryologist* Osteologist* Paleobotanist* Phytopathologist* Plant Etiologist</t>
  </si>
  <si>
    <t>Biological technicians    * Bacteriology Technician* Biochemistry Technician* Biology Laboratory Assistant* Marine Fisheries Technician* Microbiology Technician* Wildlife Technician</t>
  </si>
  <si>
    <t>Boilermakers    * Boiler Fitter* Boiler Installer* Boiler Mechanic* Boiler Setter* Boiler Tester* Boilermaker* Boilermaker Mechanic</t>
  </si>
  <si>
    <t>Apprenticeship</t>
  </si>
  <si>
    <t>Bookkeeping, accounting, and auditing clerks    * Accounts Receivable Assistant* Accounts Receivable Clerk* Auditing Clerk* Bookkeeper* Fixed Capital Clerk* Foreign Exchange Position Clerk* Mortgage Accounting Clerk</t>
  </si>
  <si>
    <t>Brickmasons and blockmasons    * Adobe Layer* Block Layer* Blockmason* Brick Chimney Builder* Brick Setter* Bricklayer* Brickmason* Brickmason Apprentice* Firebrick Layer* Furnace Mason* Pottery Kiln Builder* Refractory Bricklayer</t>
  </si>
  <si>
    <t>Bridge and lock tenders    * Bridge Operator* Bridge Tender* Dam Tender* Lighthouse Keeper* Lock and Dam Operator</t>
  </si>
  <si>
    <t>Broadcast announcers and radio disc jockeys    * Commercial Announcer* Game Show Host* Radio Artist* Radio Disk Jockey* Radio Host* Talk Show Host* Television Host</t>
  </si>
  <si>
    <t>Broadcast technicians    * Audio Engineer* Broadcast Engineer* Broadcast Maintenance Engineer* Broadcast Operations Engineer* Radio Station Audio Engineer* Radio/Television Technician* Remote Broadcast Engineer* Telecasting Engineer* Television Audio Engineer</t>
  </si>
  <si>
    <t>Brokerage clerks    * Brokerage Clerk* Brokerage Purchase-and-Sale Clerk* Commodities Clerk* Dividend Clerk* Securities Clerk</t>
  </si>
  <si>
    <t>Budget analysts    * Budget Analyst* Budget Coordinator* Budget Examiner* Budget Officer* Cost Analyst</t>
  </si>
  <si>
    <t>Building cleaning workers, all other    * Building Pressure Washer* Chimney Sweep* Chimney Sweeper</t>
  </si>
  <si>
    <t>Bus and truck mechanics and diesel engine specialists    * Biodiesel Engine Specialist* Diesel Engine Fitter* Diesel Service Technician* Marine Diesel Technician* School Bus Mechanic* Tractor Trailer Mechanic* Truck Engine Technician</t>
  </si>
  <si>
    <t>Bus drivers, school</t>
  </si>
  <si>
    <t>Bus drivers, transit and intercity</t>
  </si>
  <si>
    <t>Business operations specialists, all other    * Mystery Shopper* Ship Purser</t>
  </si>
  <si>
    <t>Business teachers, postsecondary    * Accounting Professor* Banking and Finance Instructor* Business Administration Professor* Finance Professor* Management Professor* Marketing Instructor* Marketing Professor</t>
  </si>
  <si>
    <t>Butchers and meat cutters    * Butcher* Butcher Apprentice* Halal Butcher* Kosher Butcher* Meat Carver* Meat Clerk* Meat Counter Worker</t>
  </si>
  <si>
    <t>Buyers and purchasing agents</t>
  </si>
  <si>
    <t>Cabinetmakers and bench carpenters    * Cabinet Builder* Cabinetmaker* Marquetry Worker* Wood Furniture Assembler* Wood Working Assembler</t>
  </si>
  <si>
    <t>Calibration technologists and technicians</t>
  </si>
  <si>
    <t>Camera and photographic equipment repairers    * Aircraft Photographic Equipment Repairer* Camera Machinist* Camera Repair Technician* Camera Repairer* Photographic Equipment Technician</t>
  </si>
  <si>
    <t>Camera operators, television, video, and film    * Cinematographer* Electronic News Gathering Camera Operator* Motion Picture Camera Operator* Movie Shot Camera Operator* News Camera Operator* News Videographer* Television Camera Operator* Video Camera Operator</t>
  </si>
  <si>
    <t>Captains, mates, and pilots of water vessels    * Barge Captain* Barge Master* Boat Pilot* Car Ferry Captain* Car Ferry Master* Coastal Tug Mate* Deck Officer* Docking Pilot* Ferry Boat Captain* Ferry Captain* Ferryboat Captain* First Mate* Harbor Boat Pilot* Harbor Pilot* Harbor Tug Captain* Port Captain* River Boat Captain* River Pilot* Sailboat Captain* Ship Harbor Pilot* Tow Boat Captain* Towboat Pilot* Tug Boat Captain* Tugboat Captain* Tugboat Mate* Tugboat Operator* Tugboat Pilot</t>
  </si>
  <si>
    <t>Cardiologists</t>
  </si>
  <si>
    <t>Cardiovascular technologists and technicians    * Cardiac Catheterization Laboratory Technologist* Cardiac Catheterization Technologist* Cardiac Monitor Technician* Cardiac Technician* Cardiopulmonary Technologist* Cardiovascular Interventional Technologist* Cardiovascular Technologist* EKG Technician* Echocardiogram Technician* Echocardiographer* Echocardiographic Technologist* Echocardiography Technician* Echocardiology Technologist* Electrocardiogram Technician* Electrocardiograph Operator* Pulmonary Function Technologist</t>
  </si>
  <si>
    <t>Career/technical education teachers, middle school    * Middle School Vocational Education Teacher</t>
  </si>
  <si>
    <t>Career/technical education teachers, postsecondary    * Architectural Drafting Instructor* Aviation Maintenance Instructor* Barbering Instructor* Barbering Teacher* Building Trades Instructor* Carpentry Instructor* Commercial Art Instructor* Computer Repair Instructor* Computer-Aided Drafting and Design Instructor* Cosmetology Professor* Electrical Technology Instructor* Electronics Technology Instructor* Industrial Electrical Technology Instructor* Industrial Maintenance Instructor* Machine Tool Technician Instructor* Masonry Instructor* Massage Therapy Instructor* Mechanical Maintenance Instructor* Paralegal Instructor* Postsecondary Career and Technical Education Teacher* Residential Construction Instructor* Skin Care Instructor* Upholstery Instructor* Vocational Horticulture Instructor* Welding Instructor</t>
  </si>
  <si>
    <t>Career/technical education teachers, secondary school    * High School Auto Repair Teacher* High School Vocational Education Teacher</t>
  </si>
  <si>
    <t>Cargo and freight agents    * Cargo Agent* Cargo Router* Freight Agent* Freight Shipping Agent* Ramp Service Agent</t>
  </si>
  <si>
    <t>Carpenters    * Beam Builder* Building Carpenter* Construction Carpenter* Counter Installer* Custom Wood Stair Builder* Finish Carpenter* Hardwood Floor Installer* House Carpenter* Wood Floor Layer</t>
  </si>
  <si>
    <t>Carpet installers    * Carpet Installer* Carpet Layer* Commercial Carpet Installer* Residential Carpet Installer* Wall-to-Wall Carpet Installer</t>
  </si>
  <si>
    <t>Cartographers and photogrammetrists    * Cadastral Mapper* Digital Cartographer* Engineer, Photogrammetric* Map Maker* Mapper* Orthophotography Technician* Photo Cartographer* Photogrammetrist* Topographer</t>
  </si>
  <si>
    <t>Cashiers    * Cash Register Operator* Check Out Cashier* Fare Collector* Grocery Checker* Hotel  Dining Room Cashier* Snack Bar Cashier* Toll Booth Operator* Toll Collector</t>
  </si>
  <si>
    <t>Cement masons and concrete finishers    * Cement Mason* Cement Patcher* Concrete Finisher* Concrete Floor Installer* Concrete Mason* Concrete Smoother* Concrete Swimming Pool Installer</t>
  </si>
  <si>
    <t>Chefs and head cooks    * Banquet Chef* Chef De Cuisine* Chef De Froid* Executive Chef* Head Chef* Kitchen Chef* Master Chef* Pastry Chef* Sous Chef* Sushi Chef</t>
  </si>
  <si>
    <t>Chemical engineers    * Absorption and Adsorption Engineer* Chemical Process Engineer* Chemical Research Engineer* Fuels Engineer* Oxidation Engineer* Plastics Engineer* Polymerization Engineer* Refinery Process Engineer</t>
  </si>
  <si>
    <t>Chemical equipment operators and tenders    * Acid Purification Equipment Operator* Chemical Machine Tender* Chemical Process Equipment Operator* Chemical Processor* Chemical Treatment Operator</t>
  </si>
  <si>
    <t>Chemical plant and system operators    * Chemical Plant Operator* Chemical Treatment Plant Technician* Nitric Acid Plant Operator* Nitrogen Operator* Pharmaceutical Manufacturing Machine Operator</t>
  </si>
  <si>
    <t>Chemical technicians    * Assayer* Chemical Laboratory Technician* Chemical Technician* Inorganic Chemical Technician</t>
  </si>
  <si>
    <t>Chemistry teachers, postsecondary    * Chemistry Professor* Inorganic Chemistry Professor* Organic Chemistry Professor* Physical Chemistry Professor* Phytochemistry Professor</t>
  </si>
  <si>
    <t>Chemists    * Agricultural Chemist* Analytical Chemist* Bench Chemist* Food Chemist* Formulary Chemist* Industrial Chemist* Inorganic Chemist* Laboratory Chemist* Nuclear Chemist* Organic Chemist* Quality Control Chemist* Research and Development Chemist</t>
  </si>
  <si>
    <t>Chief executives    * CEO* COO* Chief Executive Officer* Chief Operating Officer* Commissioner of Internal Revenue* County Commissioner* Government Service Executive* Governor* Mayor</t>
  </si>
  <si>
    <t>Child, family, and school social workers    * C-CYFSW* Certified Children, Youth, and Family Social Worker* Child Abuse Worker* Child Protective Services Social Worker* Child Protective Services Specialist* Child Welfare Social Worker* Child Welfare Worker* Child and Family Services Worker* Family Preservation Caseworker* Family Preservation Worker* Family Service Caseworker* Foster Care Social Worker* Foster Care Worker* School Social Worker</t>
  </si>
  <si>
    <t>Childcare workers    * Au Pair* Baby Sitter* Before and After School Daycare Worker* Childcare Aide* Childcare Attendant* Childcare Worker* Day Care Attendant* Day Care Worker* Daycare Aide* Daycare Provider* Governess* Nanny* Nursery Day Care Worker* Playground Aide</t>
  </si>
  <si>
    <t>Chiropractors    * Chiropractic Doctor* Chiropractic Physician* Chiropractor</t>
  </si>
  <si>
    <t>Choreographers    * Choreographer* Dance Director* Dance Master</t>
  </si>
  <si>
    <t>Civil engineering technologists and technicians    * Civil Engineering Technician* Concrete Engineering Technician* Geotechnical Engineering Technician* Highway Engineering Technician* Structural Engineering Technician* Transportation Engineering Technician</t>
  </si>
  <si>
    <t>Civil engineers    * Architectural Engineer* Bridge Engineer* Civil Engineer* Construction Engineer* Facilities Engineer* Geotechnical Engineer* Highway Engineer* Hydrographic Engineer* Railroad Design Consultant* Research Hydraulic Engineer* Structural Engineer</t>
  </si>
  <si>
    <t>Claims adjusters, examiners, and investigators    * Claims Analyst* Fire Claims Adjuster* Health Claims Examiner* Health Insurance Adjuster* Independent Insurance Adjuster* Medical Claims Analyst* Medical Claims Examiner* Property Damage Claims Adjustor* Property and Casualty Insurance Claims Examiner* Reinsurance Claims Analyst* Workers Compensation Claims Adjuster* Workers Compensation Claims Examiner</t>
  </si>
  <si>
    <t>Cleaners of vehicles and equipment    * Aircraft Cleaner* Auto Cleaner* Auto Detailer* Automobile Detailer* Beer Coil Cleaner* Boat Detailer* Bus Cleaner* Bus Washer* Car Wash Attendant* Car Washer* Equipment Cleaner* Machine Cleaner* Railroad Car Cleaner* Truck Washer</t>
  </si>
  <si>
    <t>Cleaning, washing, and metal pickling equipment operators and tenders    * Acid Dipper* Bottle Washing Machine Operator* Degreaser Operator* Glass Cleaning Machine Tender* Immersion Metal Cleaner* Metal Pickling Equipment Operator* Pickle House Operator</t>
  </si>
  <si>
    <t>Clergy    * Cantor* Children's Pastor* College Chaplain* Hebrew Cantor* Hospital Chaplain* Imam* Minister* Parish Priest* Pastor* Priest* Rabbi* Reverend* Vicar* Youth Pastor</t>
  </si>
  <si>
    <t>Clinical and counseling psychologists</t>
  </si>
  <si>
    <t>Clinical laboratory technologists and technicians</t>
  </si>
  <si>
    <t>Coaches and scouts    * Athletic Coach* Baseball Coach* Baseball Scout* Basketball Coach* Boxing Trainer* Coach* Football Coach* Hockey Scout* Ice Skating Coach* Riding Coach* Ski Coach* Tennis Coach* Tennis Instructor</t>
  </si>
  <si>
    <t>Coating, painting, and spraying machine setters, operators, and tenders</t>
  </si>
  <si>
    <t>Coil winders, tapers, and finishers    * Coil Builder* Coil Former* Coil Winder* Motor Rewinder* Motor Winder* Multiple Coil Winder* Rotor Coil Taper* Wire Coiler* Wire Winder* Wire Winding Machine Tender</t>
  </si>
  <si>
    <t>Coin, vending, and amusement machine servicers and repairers    * Arcade Games Mechanic* Coin Box Collector* Juke Box Mechanic* Parking Meter Collector* Slot Machine Mechanic* Slot Technician* Stamp Machine Servicer* Vending Machine Filler</t>
  </si>
  <si>
    <t>Commercial and industrial designers    * Automobile Designer* Bank Note Designer* Bicycle Designer* Car Body Designer* Ceramic Designer* Ceramic Mold Designer* Furniture Designer* Package Designer* Rug Designer* Snowboard Designer* Textile Designer* Tile Designer* Toy Designer</t>
  </si>
  <si>
    <t>Commercial divers    * Commercial Diver* Marine Diver* Non Destructive Testing Underwater Welder* Salvage Diver* Scuba Diver* Submarine Diver* Underwater Welder</t>
  </si>
  <si>
    <t>Commercial pilots    * Aerial Crop Duster* Aerial Hurricane Hunter* Aerial Sprayer* Agricultural Pilot* Air Ambulance Captain* Air Tour Pilot* Balloon Pilot* Charter Pilot (Commercial Pilot Certificate Required)* Charter Pilot (Commercial)* Commercial Helicopter Pilot* Corporate Pilot* EMS Helicopter Pilot* Emergency Medical Service Helicopter Pilot* Emergency Medical Service Rotary Wing Pilot* Executive Pilot* Flight Instructor (Commercial Pilots)* Helicopter Pilot</t>
  </si>
  <si>
    <t>Communications equipment operators, all other    * Communications Equipment Operator* Facsimile Machine Operator* Fax Machine Operator* Telegraph and Teletype Operator* Telex Operator</t>
  </si>
  <si>
    <t>Communications teachers, postsecondary    * Interpersonal Communications Professor* Journalism Professor* Media Arts Professor* Professor of Communication and Writing* Professor of Rhetoric* Public Speaking Professor* Speech Professor</t>
  </si>
  <si>
    <t>Community and social service specialists, all other    * Community Organization Worker* Veterans Service Officer</t>
  </si>
  <si>
    <t>Community health workers    * CHW* Community Health Advisor* Community Health Representative* Community Health Worker* Lay Health Advocate* Peer Health Promoter* Promotor(a)</t>
  </si>
  <si>
    <t>Compensation and benefits managers    * Compensation Director* Employee Benefits Coordinator* Employee Benefits Director* Employee Benefits Manager* Wage and Salary Administrator</t>
  </si>
  <si>
    <t>Compensation, benefits, and job analysis specialists    * Benefits Analyst* Compensation Analyst* Compensation Specialist* Employee Benefits Specialist* Job Analyst* Job Specification Writer* Occupational Analyst* Pension Administrator* Position Classification Specialist* Retirement Plan Specialist</t>
  </si>
  <si>
    <t>Compliance officers    * Air Pollution Compliance Inspector* Compliance Investigator* Driver's License Examiner* EEO Officer* Environmental Compliance Inspector* Equal Employment Opportunity Investigator* Equal Employment Opportunity Officer* Equal Employment Opportunity Representative* Immigration Investigator* Inspector of Weights and Measures* License Inspector* Mortician Investigator* Wage and Hour Investigator</t>
  </si>
  <si>
    <t>Computer and information research scientists</t>
  </si>
  <si>
    <t>Computer and information systems managers    * Application Development Director* Chief Technology Officer* Computer Operations Manager* Computer Security Manager* Data Operations Director* Data Processing Manager* Information Systems Director* Information Systems Manager* Information Technology Director* Information Technology Systems Director* Internet Technology Manager* MIS Director* Management Information Systems Director</t>
  </si>
  <si>
    <t>Computer hardware engineers    * Computer Hardware Designer* Computer Hardware Developer* Computer Hardware Engineer</t>
  </si>
  <si>
    <t>Computer network architects</t>
  </si>
  <si>
    <t>Computer network support specialists</t>
  </si>
  <si>
    <t>Computer numerically controlled tool operators</t>
  </si>
  <si>
    <t>Computer numerically controlled tool programmers</t>
  </si>
  <si>
    <t>Computer occupations, all other</t>
  </si>
  <si>
    <t>Computer programmers</t>
  </si>
  <si>
    <t>Computer science teachers, postsecondary    * C++ Professor* Computer Information Systems Professor* Computer Programming Professor* IT Professor* Information Systems Professor* Information Technology Professor* Java Programming Professor</t>
  </si>
  <si>
    <t>Computer systems analysts</t>
  </si>
  <si>
    <t>Computer user support specialists</t>
  </si>
  <si>
    <t>Computer, automated teller, and office machine repairers    * ATM Servicer* Cash Register Servicer* Computer Repair Technician* Computer Repairer* Computer Service Technician* Copier Technician* Copying Machine Repairer* Data Processing Equipment Repairer* Photocopying Equipment Repairer* Printer Repair Technician</t>
  </si>
  <si>
    <t>Concierges    * Activities Concierge* Club Concierge* Concierge* Conference Concierge* Guest Service Supervisor* Hotel Concierge* Hotel Guest Service Agent</t>
  </si>
  <si>
    <t>Conservation scientists    * Conservation Science Officer* Conservation Scientist* Grassland Conservationist* Land Reclamation Specialist* Land Resource Specialist* Range Conservationist* Range Ecologist* Range Scientist* Resource Conservationist* Soil Conservationist* Water Conservationist</t>
  </si>
  <si>
    <t>Construction and building inspectors    * Architectural Inspector* Bridge Inspector* Building Code Inspector* Building Inspector* Construction Inspector* Electrical Inspector* Elevator Inspector* Highway Inspector* Home Inspector* Plumbing Inspector* Public Works Inspector* Residential Building Inspector</t>
  </si>
  <si>
    <t>Construction laborers    * Air Hammer Operator* Construction Craft Laborer* Construction Laborer* Construction Trench Digger</t>
  </si>
  <si>
    <t>Construction managers    * Construction Coordinator* Construction Superintendent* General Contractor* Masonry Contractor Administrator</t>
  </si>
  <si>
    <t>Continuous mining machine operators    * Continuous Mining Machine Coal Miner* Continuous Mining Machine Lode Miner* Self-Propelled Mining Machine Operator</t>
  </si>
  <si>
    <t>Control and valve installers and repairers, except mechanical door    * Air Valve Mechanic* Electric Meter Installer* Gas Meter Installer* Gas Meter Mechanic* Thermostat Repairer* Valve Mechanic* Water Meter Installer</t>
  </si>
  <si>
    <t>Conveyor operators and tenders    * Ash Conveyor Operator* Assembly Line Tender* Chip Bin Conveyor Tender* Conveyor Belt Operator* Conveyor Tender* Grain Elevator Operator* Packing Line Operator</t>
  </si>
  <si>
    <t>Cooks, all other    * Falafel Cart Cook* Fraternity House Cook</t>
  </si>
  <si>
    <t>Cooks, fast food    * Fast Food Cook* Fast Food Fry Cook* Fryline Attendant</t>
  </si>
  <si>
    <t>Cooks, institution and cafeteria    * Cafeteria Cook* Camp Cook* Galley Cook* Institutional Cook* Mess Cook* School Cook</t>
  </si>
  <si>
    <t>Cooks, private household    * Certified Personal Chef* Personal Chef* Private Chef</t>
  </si>
  <si>
    <t>Cooks, restaurant    * Banquet Cook* Breakfast Cook* Chef De Partie* Line Cook* Saucier* Specialty Cook</t>
  </si>
  <si>
    <t>Cooks, short order    * Griddle Attendant* Griddle Cook* Grill Cook* Short Order Fry Cook* Snack Bar Cook</t>
  </si>
  <si>
    <t>Cooling and freezing equipment operators and tenders    * Ammonia Refrigeration Worker* Chiller Operator* Chiller Tender* Freezer Operator* Refrigerating Machine Operator* Refrigeration Operator</t>
  </si>
  <si>
    <t>Correctional officers and jailers    * Certified Detention Deputy* Convict Guard* Correction Officer* Correctional Guard* Correctional Sergeant* Detention Deputy* Detention Officer* Jail Guard* Juvenile Corrections Officer* Penal Officer* Prison Guard* Prison Officer</t>
  </si>
  <si>
    <t>Correspondence clerks    * Claims Correspondence Clerk* Correspondence Clerk* Correspondence Representative* Correspondence Transcriber* Customer Service Correspondence Clerk* Fan Mail Editor* Medicare Correspondence Representative* Student Loan Correspondent</t>
  </si>
  <si>
    <t>Cost estimators    * Construction Estimator* Construction Job Cost Estimator* Crating and Moving Estimator* Electrical Estimator* Job Estimator* Production Cost Estimator</t>
  </si>
  <si>
    <t>Costume attendants    * Costume Attendant* Theatrical Wardrobe Attendant* Theatrical Wardrobe Dresser* Wardrobe Assistant* Wardrobe Attendant* Wardrobe Custodian* Wardrobe Dresser* Wardrobe Supervisor</t>
  </si>
  <si>
    <t>Counselors, all other    * AIDS Counselor* Anger Control Counselor* Grief Counselor* HIV Counselor* Sexual Assault Counselor</t>
  </si>
  <si>
    <t>Counter and rental clerks    * Airplane Charter Clerk* Apartment Rental Clerk* Automobile Rental Clerk* Bicycle Rental Clerk* Boat Rental Clerk* Car Rental Agent* Dry Cleaning Counter Clerk* Layaway Clerk* Rental Clerk* Storage Facility Rental Clerk* Video Rental Clerk</t>
  </si>
  <si>
    <t>Couriers and messengers    * Bank Courier* Bicycle Messenger* Courier* Court Messenger* Laboratory Courier* Office Messenger* Office Runner</t>
  </si>
  <si>
    <t>Court reporters and simultaneous captioners</t>
  </si>
  <si>
    <t>Court, municipal, and license clerks    * Circuit Court Clerk* City Clerk* Court Clerk* Courtroom Clerk* Deputy Court Clerk* Docket Clerk* Dog Licenser* License Clerk* Motor Vehicle License Clerk* Motor Vehicle Representative* Municipal Clerk* Tax Clerk* Township Clerk* Warrant Clerk</t>
  </si>
  <si>
    <t>Craft artists    * Furniture Artist* Hand Potter* Metal Arts Production Artist* Quilter</t>
  </si>
  <si>
    <t>Crane and tower operators    * Boom Crane Operator* Bridge Crane Operator* Cherry Picker Operator* Coal Tower Operator* Electric Crane Operator* Erecting Crane Operator* Monorail Crane Operator* Overhead Crane Operator* Port Crane Operator* Radio Control Crane Operator* Scrap Crane Operator* Tower Loader Operator* Woodyard Crane Operator</t>
  </si>
  <si>
    <t>Credit analysts    * Chief Credit Analyst* Credit Analyst* Credit Assessment Analyst* Credit Risk Analyst* Factorer</t>
  </si>
  <si>
    <t>Credit authorizers, checkers, and clerks    * Charge Authorizer* Commercial Credit Reviewer* Credit Authorizer* Credit Charge Authorizer* Credit Checker* Credit Investigator* Credit Processor* Credit Rating Checker* Credit Reference Clerk* Credit Report Checker</t>
  </si>
  <si>
    <t>Credit counselors    * Credit Counselor* Debt Management Counselor* Financial Assistance Advisor* Loan Counselor</t>
  </si>
  <si>
    <t>Crematory operators</t>
  </si>
  <si>
    <t>Criminal justice and law enforcement teachers, postsecondary    * Criminal Justice Professor* Criminology Professor* Penology Professor</t>
  </si>
  <si>
    <t>Crossing guards and flaggers    * Construction Site Crossing Guard* Crossing Guard* School Crossing Guard* School Traffic Guard</t>
  </si>
  <si>
    <t>Crushing, grinding, and polishing machine setters, operators, and tenders    * Beveling and Edging Machine Operator* Beveller Operator* Blanchard Grinder Operator* Crusher Plant Operator* Cullet Crusher and Washer* Industrial Coffee Grinder* Marble and Granite Polisher* Mix Crusher Operator* Pulverizer Operator</t>
  </si>
  <si>
    <t>Curators    * Collections Curator* Collections and Archives Director* Curator* Educational Institution Curator* Exhibitions and Collections Manager* Herbarium Curator* Museum Curator* Photography and Prints Curator</t>
  </si>
  <si>
    <t>Customer service representatives    * Complaint Clerk* Contact Center Specialist* Customer Complaint Clerk* Customer Contact Specialist* Customer Relations Representative* Customer Support Representative* Gas Distribution and Emergency Clerk* Passenger Relations Representative* Policyholder Information Clerk* Warranty Clerk</t>
  </si>
  <si>
    <t>Cutters and trimmers, hand    * Fur Trimmer* Hand Cloth Cutter* Hand Fabric Cutter* Portable Machine Cutter</t>
  </si>
  <si>
    <t>Cutting and slicing machine setters, operators, and tenders    * Dog Food Shredder Operator* Glass Cutting Machine Operator* Insulation Cutter* Paper Cutter* Paper Slitter* Rubber Trimmer* Shearing Machine Tender* Trimming Operator</t>
  </si>
  <si>
    <t>Cutting, punching, and press machine setters, operators, and tenders, metal and plastic    * Crimping Machine Operator for Metal* Four Slide Machine Setter* Metal Punch Press Operator* Metal Slitter* Metal Stamper</t>
  </si>
  <si>
    <t>Dancers    * Ballerina* Ballet Company Member* Ballet Dancer* Ballet Soloist* Burlesque Dancer* Dance Artist* Dancer* Discotheque Dancer* Exotic Dancer* Go-Go Dancer* Line Dancer* Soft Shoe Dancer* Tap Dancer</t>
  </si>
  <si>
    <t>Data entry keyers    * Customs Entry Clerk* Data Entry Clerk* Data Input Clerk* Data Keyer* Data Processing Clerk* Data Typist* Key Punch Operator* Keypunch Operator* Keypuncher</t>
  </si>
  <si>
    <t>Data scientists</t>
  </si>
  <si>
    <t>Database administrators</t>
  </si>
  <si>
    <t>Database architects</t>
  </si>
  <si>
    <t>Demonstrators and product promoters    * Home Demonstrator* Home Service Demonstrator* Hostess Party Sales Representative* In-Store Demonstrator</t>
  </si>
  <si>
    <t>Dental assistants    * Certified Dental Assistant* Dental Aide* Dental Assistant* Expanded Functions Dental Assistant* Orthodontic Assistant* Orthodontist Assistant* Registered Dental Assistant* Surgical Dental Assistant</t>
  </si>
  <si>
    <t>Dental hygienists</t>
  </si>
  <si>
    <t>Dental laboratory technicians    * Crown Ceramist* Crown and Bridge Dental Lab Technician* Crown and Bridge Technician* Dental Ceramist* Dental Laboratory Worker* Dental Mold Maker* Dental Technician* Orthodontic Technician</t>
  </si>
  <si>
    <t>Dentists, all other specialists    * Endodontist* Maxillofacial Pathology* Oral Pathologist* Pediatric Dentist* Pedodontist* Periodontist* Public Health Dentist</t>
  </si>
  <si>
    <t>Dentists, general    * Family Dentist</t>
  </si>
  <si>
    <t>Dermatologists</t>
  </si>
  <si>
    <t>Derrick operators, oil and gas    * Derrick Operator* Gas Derrick Operator* Oil Derrick Operator* Rotary Derrick Operator* Well Service Derrick Worker</t>
  </si>
  <si>
    <t>Designers, all other    * Memorial Marker Designer</t>
  </si>
  <si>
    <t>Desktop publishers    * DTP Operator* Desktop Publisher* Desktop Publishing Specialist* Electronic Console Display Operator* Electronic Imager* Electronic Pagination System Operator* Electronic Publisher* Electronic Publishing Specialist</t>
  </si>
  <si>
    <t>Detectives and criminal investigators    * Criminal Investigator* Deputy United States Marshal* FBI Investigator* Homicide Detective* Narcotics Detective* Narcotics Investigator* Police Detective</t>
  </si>
  <si>
    <t>Diagnostic medical sonographers    * Cardiac/Vascular Sonographer* Diagnostic Medical Sonographer* Registered Diagnostic Medical Sonographer* Sonographer* Ultrasonographer* Ultrasound Technician* Ultrasound Technologist</t>
  </si>
  <si>
    <t>Dietetic technicians    * Clinical Dietetic Technician* Cook Chill Technician* DTR* Dietary Aide* Dietary Technician* Dietetic Technician* Nutrition Technician* Registered Diet Technician</t>
  </si>
  <si>
    <t>Dietitians and nutritionists    * Clinical Dietitian* Dietitian* Nutritionist* Pediatric Dietician* Public Health Dietitian* Public Health Nutritionist* Research Dietitian* Sports Nutritionist* Therapeutic Dietitian</t>
  </si>
  <si>
    <t>Dining room and cafeteria attendants and bartender helpers    * Banquet Set Up Person* Bar Back* Barback* Buffet Attendant* Bus Person* Busser* Lunchroom Attendant</t>
  </si>
  <si>
    <t>Directors, religious activities and education    * Campus Ministry Director* Christian Education Minister* Education Minister* Parish Religious Education Director* Religious Activities Director* Religious Education Coordinator* Religious Education Director* Student Ministries Director* Youth Ministry Director</t>
  </si>
  <si>
    <t>Disc jockeys, except radio</t>
  </si>
  <si>
    <t>Dishwashers    * Dish Room Worker* Dishwasher* Silverware Cleaner</t>
  </si>
  <si>
    <t>Dispatchers, except police, fire, and ambulance    * Airplane Dispatch Clerk* Auto Service Dispatcher* Bus Dispatcher* Crew Dispatcher* Maintenance Dispatcher* School Bus Dispatcher* Taxicab Dispatcher* Tow Truck Dispatcher* Train Dispatcher* Truck Dispatcher</t>
  </si>
  <si>
    <t>Door-to-door sales workers, news and street vendors, and related workers    * Newspaper Carrier* Newstand Vendor* Peddler* Souvenir Street Vendor</t>
  </si>
  <si>
    <t>Drafters, all other    * Blueprint Tracer* Drafting Layout Worker* Draughtsman* Geological Drafter* Marine Drafter</t>
  </si>
  <si>
    <t>Dredge operators    * Dredge Deckhand* Dredge Engineer* Dredge Mate* Dredge Operator* Dredger</t>
  </si>
  <si>
    <t>Drilling and boring machine tool setters, operators, and tenders, metal and plastic    * Bore Mill Operator for Plastic* Boring Mill Operator for Metal* Drill Press Operator for Metal* Horizontal Boring Mill Operator for Metal* Radial Drill Operator for Plastic* Radial Drill Press Operator for Plastic* Reaming Machine Operator for Plastic</t>
  </si>
  <si>
    <t>Driver/sales workers    * Bakery Deliverer* Bobtailer* Delivery Sales worker* Newspaper Deliverer* Newspaper Delivery Driver* Pizza Delivery Driver* Route Sales Person* Route Salesperson* Sales Route Driver</t>
  </si>
  <si>
    <t>Drywall and ceiling tile installers    * Acoustical Ceiling Installer* Drywall Applicator* Drywall Finisher* Drywall Hanger* Drywall Installer* Drywall Sander* Drywall Stripper* Drywall Worker* Sheet Rock Applier* Sheet Rock Hanger* Sheet Rock Installer* Sheet Rock Worker</t>
  </si>
  <si>
    <t>Earth drillers, except oil and gas</t>
  </si>
  <si>
    <t>Economics teachers, postsecondary    * Agricultural Economics Professor* Econometrics Professor* Industrial Economics Professor* Labor Economics Professor* Macroeconomics Professor* Microeconomics Professor</t>
  </si>
  <si>
    <t>Economists    * Agricultural Economist* Econometrician* Economic Development Specialist* Economic Research Analyst* Economist* Environmental Economist* Industrial Economist* Labor Economist* Price Economist* Social Economist* Tax Economist* Trade Economist</t>
  </si>
  <si>
    <t>Editors    * Advertising Editor* Art Editor* Book Editor* Copy Desk Chief* Copy Editor* Index Editor* Manuscript Editor* Newspaper Photo Editor* Publications Editor* Rewrite Editor* Scientific Publications Editor* Sports Editor* Technical Editor</t>
  </si>
  <si>
    <t>Education administrators, all other</t>
  </si>
  <si>
    <t>Education administrators, kindergarten through secondary    * Elementary School Principal* High School Principal* Junior High School Principal* K-12 School Principal* K-8 School Principal* Middle School Principal* Secondary School Principal</t>
  </si>
  <si>
    <t>Education administrators, postsecondary    * Adult Basic Education Manager* Continuing Education Director* Graduate School Dean* Graduate Studies Dean* Provost* University Administrator* University Dean</t>
  </si>
  <si>
    <t>Education and childcare administrators, preschool and daycare    * Childcare Center Administrator* Childcare Center Director* Early Head Start Director* Head Start Director* Prekindergarten Program Coordinator* Preschool Director</t>
  </si>
  <si>
    <t>Education teachers, postsecondary    * Counselor Education Professor* Literacy Education Professor* Mathematics Education Professor* Primary Education Professor* Science Education Professor* Secondary Education Professor* Special Education Professor</t>
  </si>
  <si>
    <t>Educational instruction and library workers, all other    * General Educational Development (GED) Examiner* Individualized Education Plan (IEP) Aide* Scholastic Aptitude Test (SAT) Grader</t>
  </si>
  <si>
    <t>Educational, guidance, and career counselors and advisors    * Career Counselor* Career Technical Counselor* Education Counselor* International Student Counselor* School Adjustment Counselor* School Guidance Counselor* Student Advisor* Student Development Advisor* Student Services Counselor* Student Success Counselor* Study Abroad Advisor* Vocational Adviser</t>
  </si>
  <si>
    <t>Electric motor, power tool, and related repairers    * AC/DC Rewinder* Armature Rewinder* Battery Repairer* Dynamo Repairer* Electric Motor Fitter* Electric Motor Rewinder* Electrical Parts Reconditioner</t>
  </si>
  <si>
    <t>Electrical and electronic engineering technologists and technicians    * Electrical Design Technician* Electrical Engineering Technician* Electrical Power Station Technician* Electronic Instrument Testing Technician* Lighting Engineering Technician* Programmable Logic Controller Programmer* Semiconductor Development Technician</t>
  </si>
  <si>
    <t>Electrical and electronics drafters    * Circuit Board Drafter* Electrical Computer Aided Design and Drafting Technician* Electrical Drafter* Electrical Systems Drafter* Electronic Drafter* Printed Circuit Board Drafter</t>
  </si>
  <si>
    <t>Electrical and electronics installers and repairers, transportation equipment    * Locomotive Electrician* Marine Electronics Repairer* Marine Electronics Technician</t>
  </si>
  <si>
    <t>Electrical and electronics repairers, commercial and industrial equipment    * Industrial Aerial Installer* Industrial Robotics Mechanic* Missile Pad Mechanic* Public Address System Mechanic</t>
  </si>
  <si>
    <t>Electrical and electronics repairers, powerhouse, substation, and relay    * Generating Station Mechanic* Power Transformer Repairer* Powerhouse Electrician* Protective Relay Technician* Relay Technician* Substation Electrician* Substation Mechanic</t>
  </si>
  <si>
    <t>Electrical engineers    * Electrical Design Engineer* Electrical Engineer* Electrical Systems Engineer* Illuminating Engineer* Power Distribution Engineer</t>
  </si>
  <si>
    <t>Electrical power-line installers and repairers    * Electric Powerline Examiner* Electric Utility Lineworker* Electrical High Tension Tester* Electrical Lineworker* Power Lineworker* Underground Conduit Installer</t>
  </si>
  <si>
    <t>Electrical, electronic, and electromechanical assemblers, except coil winders, tapers, and finishers</t>
  </si>
  <si>
    <t>Electricians    * Chief Electrician* Control Electrician* Electrical Maintenance Worker* Electrical Sign Wirer* House Wirer* Licensed Electrician* Lighting Fixture Installer* Marine Electrician* Master Electrician* Solar Photovoltaic Electrician* Stage Electrician</t>
  </si>
  <si>
    <t>Electro-mechanical and mechatronics technologists and technicians    * Remotely Piloted Vehicle Engineering Technician* Robotics Testing Technician</t>
  </si>
  <si>
    <t>Electronic equipment installers and repairers, motor vehicles    * Auto Electrician* Auto Phone Installer* Auto Radio Mechanic* Automotive Electrician* Car Alarm Installer* Car Stereo Installer* GPS Car Navigation Installer* Mobile Electronics Installation Specialist</t>
  </si>
  <si>
    <t>Electronics engineers, except computer    * Antenna Engineer* Circuit Design Engineer* Electronic Design Automation Engineer* Electronic Engineer* Electronic Parts Designer* Telecommunication Engineer</t>
  </si>
  <si>
    <t>Elementary school teachers, except special education    * 3rd Grade Reading Teacher* 4th Grade Math Teacher* Elementary School Band Director* Elementary School Teacher* Grades 1 Thru 5 Teacher</t>
  </si>
  <si>
    <t>Elevator and escalator installers and repairers    * Elevator Adjuster* Elevator Constructor* Elevator Installer* Elevator Mechanic* Elevator Repair and Maintenance Technician* Elevator Service Technician* Escalator Installer* Escalator Mechanic* Escalator Service Mechanic* Freight Elevator Erector* Hydraulic Elevator Constructor</t>
  </si>
  <si>
    <t>Eligibility interviewers, government programs    * Medicare Interviewer* Public Housing Interviewer* Social Security Benefits Interviewer* Unemployment Benefits Claims Taker* Welfare Interviewer</t>
  </si>
  <si>
    <t>Embalmers    * Anatomical Embalmer* Arterial Embalmer* Embalmer Apprentice* Licensed Embalmer* Restorative Art Embalmer</t>
  </si>
  <si>
    <t>Emergency management directors    * Director of Civil Defense* Disaster Response Director* EMS Director* Emergency Management System Director* Emergency Planner* Emergency Planning and Response Manager* Emergency Preparedness Coordinator* Emergency Services Director* Emergency Services Program Coordinator* Public Safety Director</t>
  </si>
  <si>
    <t>Emergency medical technicians</t>
  </si>
  <si>
    <t>Emergency medicine physicians</t>
  </si>
  <si>
    <t>Engine and other machine assemblers    * Aircraft Engine Assembler* Assembling Motor Builder* Clutch Housing Assembler* Engine Builder* Gas Turbine Assembler* Generator Assembler* Jet Engine Assembler* Machine Builder* Sewing Machine Assembler* Steam Turbine Assembler* Truck Transmission Assembler* Truck Transmission Builder</t>
  </si>
  <si>
    <t>Engineering teachers, postsecondary    * Aeronautical Engineering Professor* Ceramic Engineering Professor* Chemical Engineering Professor* Civil Engineering Professor* Electrical Engineering Professor* Electronics Engineering Professor* Industrial Engineering Professor* Manufacturing Engineering Professor* Marine Engineering Professor* Mechanical Engineering Professor* Petroleum Engineering Professor</t>
  </si>
  <si>
    <t>Engineering technologists and technicians, except drafters, all other    * Agricultural Engineering Technicians* Biomedical Engineering Technician* Chemical Engineering Technician* Marine Engineering Technicians* Materials Engineering Technician* Metallurgical Engineering Technician* Nuclear Engineering Technician* Optical Engineering Technician* Ordnance Engineering Technician* Salvage Engineering Technician</t>
  </si>
  <si>
    <t>Engineers, all other    * Corrosion Control Engineer* Mathematical Engineer* Optical Engineer* Ordnance Engineer* Photonics Engineer* Salvage Engineer</t>
  </si>
  <si>
    <t>English language and literature teachers, postsecondary    * Children's Literature Professor* Composition Professor* Contemporary English Literature Professor* Creative Writing English Professor* Etymology Professor* Medieval English Literature Professor* Seventeenth-Century English Literature Professor* Victorian Literature Professor</t>
  </si>
  <si>
    <t>Entertainers and performers, sports and related workers, all other    * Acrobat* Aerialist* Amusement Park Entertainer* Bareback Rider* Baton Twirler* Clown* Comedian* Continuity Director* Fortune Teller* Impersonator* Juggler* Magician* Marionette Performer* Palmist* Professional Poker Player* Prompter* Puppeteer* Rodeo Performer* Story Teller* Stunt Performer* Tumbler* Ventriloquist* Wire Walker</t>
  </si>
  <si>
    <t>Entertainment and recreation managers, except gambling</t>
  </si>
  <si>
    <t>Entertainment attendants and related workers, all other    * Jockey Valet</t>
  </si>
  <si>
    <t>Environmental engineering technologists and technicians    * Air Analysis Engineering Technician* Environmental Remediation Engineering Technician* Environmental Technician* Pollution Control Engineering Technician</t>
  </si>
  <si>
    <t>Environmental engineers    * Air Pollution Control Engineer* Environmental Engineer* Environmental Remediation Engineer* Hazardous Substances Engineer* Hazardous Waste Management Control Engineer* Pollution Control Engineer* Soil Engineer* Waste Management Engineer* Wastewater Treatment Engineer* Water Treatment Plant Engineer</t>
  </si>
  <si>
    <t>Environmental science and protection technicians, including health</t>
  </si>
  <si>
    <t>Environmental science teachers, postsecondary    * Environmental Science Professor* Environmental Science, Management and Policy Professor* Environmental Studies Professor</t>
  </si>
  <si>
    <t>Environmental scientists and specialists, including health    * Ecological Modeler* Environmental Analyst* Environmental Scientist* Hazardous Substances Scientist* Health Environmentalist* Water Pollution Scientist* Water Quality Analyst</t>
  </si>
  <si>
    <t>Epidemiologists    * Clinical Epidemiologist* Communicable Disease Specialist* Environmental Epidemiologist* Epidemiology Investigator* Malariologist* Medical Epidemiologist* Pharmacoepidemiologist</t>
  </si>
  <si>
    <t>Etchers and engravers    * Engraver* Glass Etcher* Laser Engraver* Machine Engraver* Metal Engraver* Pantograph Engraver* Rotary Engraver* Rubber Engraver</t>
  </si>
  <si>
    <t>Excavating and loading machine and dragline operators, surface mining</t>
  </si>
  <si>
    <t>Executive secretaries and executive administrative assistants    * Executive Assistant</t>
  </si>
  <si>
    <t>Exercise physiologists    * Applied Exercise Physiologist* Clinical Exercise Physiologist* Kinesiotherapist</t>
  </si>
  <si>
    <t>Exercise trainers and group fitness instructors    * Aerobics Instructor* Certified Personal Trainer* Fitness Trainer* Group Exercise Instructor* Group Fitness Instructor* Personal Fitness Trainer* Personal Trainer* Weight Trainer* Weight Training Instructor* Yoga Instructor* Yoga Teacher</t>
  </si>
  <si>
    <t>Explosives workers, ordnance handling experts, and blasters</t>
  </si>
  <si>
    <t>Extraction workers, all other    * Dumper Bailer Operator* Sand Filler* Sandfill Operator</t>
  </si>
  <si>
    <t>Extruding and drawing machine setters, operators, and tenders, metal and plastic    * Wire Drawing Machine Tender* Wire Mill Rover</t>
  </si>
  <si>
    <t>Extruding and forming machine setters, operators, and tenders, synthetic and glass fibers    * Drawbench Operator* Fiber Machine Tender* Synthetic Filament Extruder</t>
  </si>
  <si>
    <t>Extruding, forming, pressing, and compacting machine setters, operators, and tenders    * Bowling Ball Molder* Brick Maker* Cigarette Stamper* Extrusion Press Operator* Paper Baling Machine Operator* Rubber Extrusion Operator* Sugar Presser* Tuber Operator</t>
  </si>
  <si>
    <t>Fabric and apparel patternmakers    * Clothing Patternmaker* Embroidery Patternmaker* Fabric Pattern Grader</t>
  </si>
  <si>
    <t>Facilities managers</t>
  </si>
  <si>
    <t>Fallers    * Lumberjack* Pulpwood Cutter* Timber Cutter* Timber Faller* Timber Feller</t>
  </si>
  <si>
    <t>Family and consumer sciences teachers, postsecondary    * Family Resource Management Professor* Family and Consumer Sciences Professor* Home and Family Living Professor* Weaving Professor</t>
  </si>
  <si>
    <t>Family medicine physicians</t>
  </si>
  <si>
    <t>Farm and home management educators    * 4-H Youth Development Specialist* Agricultural Agent* Agricultural Extension Educator* Extension Service Advisor* Family Resource Management Specialist* Family and Consumer Sciences Extension Agent* Farm Business Management Agent* Farm Management Specialist* Feed Management Advisor* Home Economics Expert</t>
  </si>
  <si>
    <t>Farm equipment mechanics and service technicians    * Agricultural Equipment Mechanic* Combine Mechanic* Dairy Equipment Mechanic* Dairy Equipment Repairer* Harvester Mechanic* Irrigation Equipment Mechanic* Milking Machine Mechanic* Tractor Mechanic</t>
  </si>
  <si>
    <t>Farm labor contractors    * Farm Labor Contractor* Harvesting Contractor</t>
  </si>
  <si>
    <t>Farmers, ranchers, and other agricultural managers    * Agricultural Crop Farm Manager* Animal Husbandry Manager* Aquaculture Farm Manager* Beef Farm Operator* Christmas Tree Farm Manager* Dairy Farm Manager* Fish Hatchery Manager* Greenhouse Manager* Hatchery Manager* Orchard Manager</t>
  </si>
  <si>
    <t>Farmworkers and laborers, crop, nursery, and greenhouse    * Cane Cutter* Carrot Harvester* Citrus Picker* Corn Picker* Cotton Picker* Crop Picker* Flower Picker* Greenhouse Transplanter* Harvest Worker* Harvester* Orchard Hand* Orchard Worker* Pecan Gatherer* Pepper Picker* Vineyard Tender</t>
  </si>
  <si>
    <t>Farmworkers, farm, ranch, and aquacultural animals    * Aquaculture Worker* Barn Hand* Barn Worker* Cattle Brander* Cattle Driver* Chicken Handler* Chicken Vaccinator* Cow Tender* Egg Gatherer* Farrowing Worker* Goat Herder* Groom* Hatchery Worker* Livestock Handler* Poultry Debeaker* Ranch Hand* Sheep Shearer* Shrimp Pond Laborer</t>
  </si>
  <si>
    <t>Fashion designers    * Apparel Designer* Clothes Designer* Clothing Designer* Costume Designer* Custom Furrier* Dance Costume Designer* Dress Designer* Fashion Designer* Hat Designer* Sweater Designer* Uniform Designer</t>
  </si>
  <si>
    <t>Fast food and counter workers</t>
  </si>
  <si>
    <t>Fence erectors    * Chain Link Fence Installer* Fence Builder* Fence Erector* Wire Fence Builder* Wood Fence Installer</t>
  </si>
  <si>
    <t>Fiberglass laminators and fabricators</t>
  </si>
  <si>
    <t>File clerks    * Cut File Clerk* Document Clerk* File Clerk* File Keeper* Index Clerk* Records Clerk</t>
  </si>
  <si>
    <t>Film and video editors    * Cue Selector* Electronic News Gathering Editor* Film Editor* Movie Editor* News Video Editor* News Videotape Editor* Tape Editor* Television News Video Editor* Video Tape Transferrer</t>
  </si>
  <si>
    <t>Financial and investment analysts    * Corporate Financial Analyst* Corporate Securities Research Analyst* Corporate Statistical Financial Analyst* Institutional Commodity Analyst</t>
  </si>
  <si>
    <t>Financial clerks, all other    * Bank Vault Attendant* Bank Vault Clerk* Bank Vault Custodian* Financial Operations Clerk* Financial Reserve Clerk* Safe Deposit Clerk* Safety Deposit Clerk* Vault Teller</t>
  </si>
  <si>
    <t>Financial examiners    * Bank Compliance Officer* Bank Examiner* Financial Compliance Examiner* Home Mortgage Disclosure Act Specialist* Payroll Examiner* Pension Examiner</t>
  </si>
  <si>
    <t>Financial managers    * Banking Center Manager* Banking Manager* City Comptroller* City Treasurer* Comptroller* Credit Manager* Financial Director* Financial Officer* Fiscal Manager* International Bank Manager* Residential Mortgage Manager</t>
  </si>
  <si>
    <t>Financial risk specialists</t>
  </si>
  <si>
    <t>Financial specialists, all other    * Bail Bondsman* Bondsman* Executor of Estate* Foreign Exchange Trader</t>
  </si>
  <si>
    <t>Fine artists, including painters, sculptors, and illustrators    * Book Illustrator* Caricature Artist* Comic Artist* Comic Book Artist* Comic Illustrator* Commercial Artist* Concrete Sculptor* Editorial Cartoonist* Fashion Illustrator* Free Lance Artist* Fresco Artist* Glass Artist* Ice Sculptor* Medical Illustrator* Mural Painter* Muralist* Non-Representational Metal Sculptor* Oil Painter* Pattern Illustrator* Political Cartoonist* Portrait Artist* Portrait Painter* Scientific Illustrator* Sketch Artist* Sports Cartoonist* Stained Glass Artist* Water Colorist* Watercolor Artist</t>
  </si>
  <si>
    <t>Fire inspectors and investigators    * Arson Investigator* CFEI* Certified Fire Investigator* Certified Fire and Explosion Investigator* Certified Vehicle Fire Investigator* Fire Hazard Inspector* Fire Investigator* Fire Prevention Inspector* Fire Safety Inspector</t>
  </si>
  <si>
    <t>Firefighters    * Fire Engine Pump Operator* Fire Equipment Operator* Fire Fighter* Forest Firefighter* Marine Firefighter* Municipal Firefighter* Smoke Jumper* Wildland Firefighter</t>
  </si>
  <si>
    <t>First-line supervisors of construction trades and extraction workers    * Carpenter Supervisor* Drilling Foreman* Electrician Supervisor* Excavating Supervisor* Quarry Boss* Rig Supervisor* Roustabout Crew Leader* Segmental Paving Supervisor* Solar Panel Installation Supervisor</t>
  </si>
  <si>
    <t>First-line supervisors of correctional officers    * Chief Jailer* Correctional Officer Sergeant* Correctional Supervisor* Corrections Sergeant* Prison Guard Supervisor</t>
  </si>
  <si>
    <t>First-line supervisors of entertainment and recreation workers, except gambling services</t>
  </si>
  <si>
    <t>First-line supervisors of farming, fishing, and forestry workers    * Animal Caretaker Supervisor* Aquacultural Worker Supervisor* Corn Crop Supervisor* Corral Boss* Cranberry Bog Supervisor* Farm Supervisor* Farrowing Manager* Feed Manager* Fish Hatchery Supervisor* Harvest Crew Supervisor* Harvest Manager* Logging Crew Supervisor* Picking Crew Supervisor* Planting Supervisor* Ranch Hand Supervisor</t>
  </si>
  <si>
    <t>First-line supervisors of firefighting and prevention workers    * Fire Lieutenant* Municipal Fire Fighting and Prevention Supervisor* Supervising Fire Marshal</t>
  </si>
  <si>
    <t>First-line supervisors of food preparation and serving workers    * Banquet Supervisor* Bar Manager* Cafeteria Manager* Dairy Bar Manager* Food Service Supervisor* Head Waiter* Head Waitress* Kitchen Supervisor</t>
  </si>
  <si>
    <t>First-line supervisors of gambling services workers</t>
  </si>
  <si>
    <t>First-line supervisors of housekeeping and janitorial workers    * Building Cleaning Supervisor* Cleaning Staff Supervisor* Custodial Supervisor* Head Custodian* Head School Custodian* Janitor Supervisor* Maid Supervisor* Maintenance and Custodian Supervisor</t>
  </si>
  <si>
    <t>First-line supervisors of landscaping, lawn service, and groundskeeping workers    * Gardening Supervisor* Greenskeeper Supervisor* Grounds Crew Supervisor* Grounds Foreman* Grounds Maintenance Supervisor* Head Greenskeeper* Horticultural Services Supervisor* Landscape Installation Foreman* Turf and Grounds Supervisor</t>
  </si>
  <si>
    <t>First-line supervisors of mechanics, installers, and repairers    * Automobile Body Repair Supervisor* Body Shop Supervisor* Electronic Maintenance Supervisor* Fleet Maintenance Supervisor* Heating, Ventilation, and Air Conditioning Supervisor* Oil Field Equipment Mechanic Supervisor* Railroad Car Repair Supervisor* Repair Department Supervisor</t>
  </si>
  <si>
    <t>First-line supervisors of non-retail sales workers    * Blood Donor Recruiter Supervisor* Insurance Sales Supervisor* Radio Time Sales Supervisor* Real Estate Sales Supervisor* Stock Broker Supervisor* Telemarketer Supervisor* Telemarketing Manager* Telesales Supervisor</t>
  </si>
  <si>
    <t>First-line supervisors of office and administrative support workers    * Accounts Payable Supervisor* Billing Department Supervisor* Billing Supervisor* Clerical Supervisor* Data Entry Supervisor* Medical Billing Supervisor* Office Services Supervisor* Payroll Supervisor* Records Supervisor* Teller Supervisor* Timekeeping Supervisor</t>
  </si>
  <si>
    <t>First-line supervisors of personal service workers</t>
  </si>
  <si>
    <t>First-line supervisors of police and detectives    * Commanding Officer Homicide Squad* Detective Lieutenant* Detective Supervisor* Police Lieutenant* Traffic Lieutenant* Traffic Sergeant</t>
  </si>
  <si>
    <t>First-line supervisors of production and operating workers    * Assembly Line Supervisor* Assembly Supervisor* Die Cast Supervisor* Machine Assembler Supervisor* Machinist Supervisor* Molding Supervisor* Paper Machine Supervisor* Printing Supervisor* Printing Worker Supervisor* Tool Room Supervisor</t>
  </si>
  <si>
    <t>First-line supervisors of protective service workers, all other    * Animal Control Supervisor* Animal Cruelty Investigation Supervisor* Security Guard Supervisor* Transportation Security Administration (TSA) Screener Supervisor</t>
  </si>
  <si>
    <t>First-line supervisors of retail sales workers    * Assistant Store Manager* Cashier Manager* Cashier Supervisor* Delicatessen Department Manager* Produce Department Supervisor* Sales Clerk Supervisor* Used Car Sales Supervisor</t>
  </si>
  <si>
    <t>First-line supervisors of security workers</t>
  </si>
  <si>
    <t>First-line supervisors of transportation and material moving workers, except aircraft cargo handling supervisors</t>
  </si>
  <si>
    <t>Fish and game wardens    * Conservation Enforcement Officer* Fish Warden* Fish and Game Warden* Fish and Wildlife Warden* Game Warden* Wildlife Control Agent* Wildlife Officer* Wildlife and Game Protector</t>
  </si>
  <si>
    <t>Fishing and hunting workers</t>
  </si>
  <si>
    <t>Flight attendants    * Airline Flight Attendant* Airplane Flight Attendant* Flight Steward</t>
  </si>
  <si>
    <t>Floor layers, except carpet, wood, and hard tiles    * Composition Floor Layer* Cork Floor Installer* Laminate Floor Installer* Linoleum Installer* Resilient Tile Installer* Shock-Absorption Floor Layer* Vinyl Flooring Installer* Vinyl Installer</t>
  </si>
  <si>
    <t>Floor sanders and finishers    * Floor Finisher* Floor Refinisher* Floor Sander* Floor Sanding Machine Operator* Floor Scraper* Hardwood Finisher</t>
  </si>
  <si>
    <t>Floral designers    * Corsage Maker* Floral Arranger* Floral Artist* Floral Decorator* Florist* Florist Designer* Flower Arranger</t>
  </si>
  <si>
    <t>Food and tobacco roasting, baking, and drying machine operators and tenders    * Bean Roaster* Coffee Roaster* Fish Smoker* Food Dehydrator Operator* Grain Roaster* Malt House Kiln Operator* Meat Curer* Meat Smoker* Sausage Smoker* Smokehouse Worker* Tobacco Drier Operator</t>
  </si>
  <si>
    <t>Food batchmakers    * Almond Paste Mixer* Candy Maker* Candy Puller* Cheese Processor* Cottage Cheese Maker* Dough Scaler and Mixer* Frozen Yogurt Maker* Honey Blender* Ice Cream Maker* Liquid Sugar Fortifier* Peanut Butter Maker* Pickle Maker* Relish Maker* Taffy Puller</t>
  </si>
  <si>
    <t>Food cooking machine operators and tenders    * Doughnut Machine Operator* Dumpling Machine Operator* Fish Fryer* Food Cooking Machine Operator* Kettle Fry Cook Operator* Pierogi Maker* Potato Chip Frier* Tripe Cooker</t>
  </si>
  <si>
    <t>Food preparation and serving related workers, all other    * Kitchen Steward</t>
  </si>
  <si>
    <t>Food preparation workers    * Deli Clerk* Deli Slicer* Food Preparer* Fruit and Vegetable Parer* Salad Maker* Sandwich Maker</t>
  </si>
  <si>
    <t>Food processing workers, all other    * Olive Pitter* Pasta Press Operator* Poultry Hanger* Yeast Maker</t>
  </si>
  <si>
    <t>Food science technicians</t>
  </si>
  <si>
    <t>Food scientists and technologists    * Dairy Bacteriologist* Enologist* Food Preservation Scientist* Food Processing Scientist* Food Safety Scientist* Food Scientist* Food Technologist</t>
  </si>
  <si>
    <t>Food servers, nonrestaurant    * Boat Hop* Hospital Food Service Worker* Room Service Food Server</t>
  </si>
  <si>
    <t>Food service managers    * Banquet Director* Banquet Manager* Cafeteria Director* Food Service Director* Food Service Manager* Food and Beverage Manager* Restaurant General Manager* Tavern Operator</t>
  </si>
  <si>
    <t>Foreign language and literature teachers, postsecondary    * Arabic Professor* Biblical Languages Professor* Chinese Language Professor* French Professor* German Professor* Greek Professor* Hebrew Professor* Japanese Professor* Russian Language Professor* Spanish Literature Professor</t>
  </si>
  <si>
    <t>Forensic science technicians    * Ballistic Technician* Ballistician* Ballistics Expert* Crime Lab Technician* Crime Scene Technician* Criminalist Technician* Fingerprint Expert* Forensic Analyst* Forensic Science Technician* Handwriting Expert* Trace Evidence Technician* Wildlife Forensic Geneticist</t>
  </si>
  <si>
    <t>Forest and conservation technicians</t>
  </si>
  <si>
    <t>Forest and conservation workers    * Forest Nursery Worker* Forester Aide* Forestry Laborer* Rangelands Conservation Laborer* Reforestation Worker* Seedling Puller* Wetlands Conservation Laborer</t>
  </si>
  <si>
    <t>Forest fire inspectors and prevention specialists    * Environmental Protection Fire Control Officer* Fire Control Officer* Fire Operations Forester* Fire Ranger* Forest Fire Control Officer* Forest Fire Officer* Wildfire Prevention Specialist* Wildland Fire Operations Specialist</t>
  </si>
  <si>
    <t>Foresters    * Environmental Protection Forester* Forest Ecologist* Forestry Scientist* Land Management Forester* Operations Forester* Resource Forester* Service Forester* Timber Management Specialist* Urban Forester</t>
  </si>
  <si>
    <t>Forestry and conservation science teachers, postsecondary    * Ecology Professor* Environmental Conservation Professor* Forest Biometrics Professor* Forest Ecology Professor* Forest Management Professor* Forest Pathology Professor* Forest Resources Professor* Forest Technology Professor* Silviculture Professor* Timber Management Professor* Wildlife Conservation Professor</t>
  </si>
  <si>
    <t>Forging machine setters, operators, and tenders, metal and plastic    * Cold Header Operator* Forging Roll Operator* Header Setup Operator* Spike Machine Operator* Swager Operator* Swaging Machine Operator</t>
  </si>
  <si>
    <t>Foundry mold and coremakers    * Airset Caster* Airset Molder* Core Stripper* Foundry Molder* Green Sand Molder* No Bake Molder* Sand Molder* Wax Pattern Coater</t>
  </si>
  <si>
    <t>Fundraisers    * Campaign Fundraiser* Donor Relations Officer* Fundraising Officer</t>
  </si>
  <si>
    <t>Fundraising managers</t>
  </si>
  <si>
    <t>Funeral attendants    * Funeral Assistant* Funeral Attendant* Funeral Greeter* Funeral Home Assistant* Funeral Home Associate* Mortician Helper* Pallbearer* Undertaker Helper</t>
  </si>
  <si>
    <t>Funeral home managers</t>
  </si>
  <si>
    <t>Furnace, kiln, oven, drier, and kettle operators and tenders    * Calciner Operator* Dry Kiln Operator* Induction Furnace Operator* Lime Kiln Operator* Lumber Kiln Operator* Rubber Curer* Soap Drier Tender* Tunnel Kiln Operator</t>
  </si>
  <si>
    <t>Furniture finishers    * Cabinet Finisher* Furniture Refinisher* Furniture Sander* Piano Refinisher* Wood Cabinet Finisher</t>
  </si>
  <si>
    <t>Gambling and sports book writers and runners    * Betting Clerk* Bookie* Casino Floor Runner* Keno Runner* Keno Writer* Race Book Writer* Race and Sports Book Writer* Sports Book Board Attendant* Sportsbook Ticket Writer</t>
  </si>
  <si>
    <t>Gambling cage workers    * Cage Cashier* Casino Cage Cashier* Casino Cashier* Gaming Cage Cashier* Gaming Cashier</t>
  </si>
  <si>
    <t>Gambling change persons and booth cashiers    * Mutuel Teller* Slot Attendant</t>
  </si>
  <si>
    <t>Gambling dealers    * 21 Dealer* Blackjack Dealer* Casino Dealer* Casino Games Dealer* Craps Dealer* Keno Dealer* Poker Dealer* Roulette Dealer* Table Games Dealer</t>
  </si>
  <si>
    <t>Gambling managers    * Bingo Manager* Casino Manager* Gaming Department Head* Gaming Director* Gaming Manager* Slot Operations Director* Slots Manager* Table Games Manager</t>
  </si>
  <si>
    <t>Gambling service workers, all other    * Card Table Attendant* Pit Clerk* Poker Prop Player* Proposition Player* Shill</t>
  </si>
  <si>
    <t>Gambling surveillance officers and gambling investigators    * Casino Investigator* Casino Surveillance Officer* Gambling Monitor* Gaming Surveillance Observer* Gaming Surveillance Officer</t>
  </si>
  <si>
    <t>Gas compressor and gas pumping station operators    * Acetylene Gas Compressor* Butane Compressor Operator* Compressor Station Operator* Gas Compressor Operator* Gas Cylinder Processor* Gas Storage Operator* High Pressure Compressed Gas Filler* LNG Plant Operator* Liquid Natural Gas Plant Operator</t>
  </si>
  <si>
    <t>Gas plant operators    * Gas Controller* Gas Plant Dispatcher* Gas Plant Operator* Gas Plant Technician* Natural Gas Plant Technician</t>
  </si>
  <si>
    <t>General and operations managers    * Department Store General Manager* General Manager* General Superintendent* Manufacturing Operations Manager* Operations Manager* Radio Station Manager* Television Station Manager</t>
  </si>
  <si>
    <t>General internal medicine physicians</t>
  </si>
  <si>
    <t>Genetic counselors    * Certified Genetic Counselor* Chromosomal Disorders Counselor* Genetic Counselor* Mitochondrial Disorders Counselor* Prenatal Genetic Counselor</t>
  </si>
  <si>
    <t>Geographers    * Biogeographer* Economic Geographer* GIS Geographer* Geographer* Geomorphologist* Glaciologist* Physical Geographer* Political Geographer</t>
  </si>
  <si>
    <t>Geography teachers, postsecondary    * Cartography Professor* GIS Professor* Geographic Information Systems Professor* Geomatics Professor</t>
  </si>
  <si>
    <t>Geological technicians, except hydrologic technicians</t>
  </si>
  <si>
    <t>Geoscientists, except hydrologists and geographers    * Crystallographer* Development Geologist* Environmental Geologist* Exploration Geologist* Geochemist* Geodesist* Geologist* Geomagnetist* Geophysicist* Geoscientist* Mine Geologist* Mineralogist* Mining Production Geologist* Oceanographer* Oceanologist* Paleontologist* Petroleum Geologist* Petrologist* Research Geologist* Sedimentationist* Seismologist* Stratigrapher* Volcanologist</t>
  </si>
  <si>
    <t>Glaziers    * Leaded Glass Installer* Plate Glass Installer* Stained Glass Glazier* Stained Glass Installer* Stained Glass Joiner* Window Glazier</t>
  </si>
  <si>
    <t>Graders and sorters, agricultural products    * Apple Sorter* Cherry Sorter* Cotton Grader* Egg Grader* Fruit Sorter* Meat Grader* Oyster Sorter* Peanut Grader* Potato Sorter* Seed Sorter* Strawberry Sorter* Vegetable Sorter* Wool Grader</t>
  </si>
  <si>
    <t>Graphic designers    * Catalogue Illustrator* Graphic Artist* Graphic Designer* Visual Designer</t>
  </si>
  <si>
    <t>Grinding and polishing workers, hand    * Hand Buffer* Hand Sander* Jewelry Grinder* Jewelry Polisher* Knife Grinder* Ring Polisher</t>
  </si>
  <si>
    <t>Grinding, lapping, polishing, and buffing machine tool setters, operators, and tenders, metal and plastic    * Aluminum Polisher* Deburring Machine Operator* Jewel Bearing Facer* Metal Grinder* Tool Polishing Machine Operator</t>
  </si>
  <si>
    <t>Grounds maintenance workers, all other    * Trail Construction Worker* Trail Maintenance Worker* Trailhead Construction Worker* Trailhead Maintenance Worker* Tree Trimmer Helper</t>
  </si>
  <si>
    <t>Hairdressers, hairstylists, and cosmetologists    * Beautician* Cosmetologist* Funeral Home Makeup Artist* Hair Colorist* Hair Stylist* Hair and Makeup Designer* Hairdresser* Hairpiece Stylist* Wedding Makeup Artist* Wig Stylist</t>
  </si>
  <si>
    <t>Hazardous materials removal workers    * Asbestos Abatement Worker* Asbestos Remover* Decontamination Worker* Hazard Waste Handler* Hazmat Technician* Irradiated Fuel Handler* Lead Abatement Worker* Radiological Control and Safety Technician</t>
  </si>
  <si>
    <t>Health and safety engineers, except mining safety engineers and inspectors    * Fire Prevention Engineer* Fire Protection Engineer* Industrial Safety Engineer* Product Safety Engineer* Product Safety Test Engineer* System Safety Engineer</t>
  </si>
  <si>
    <t>Health education specialists    * Certified Diabetes Educator* Certified Health Education Specialist* Community Health Education Coordinator* Diabetes Educator* Health Education Specialist* Health Educator* Public Health Educator</t>
  </si>
  <si>
    <t>Health information technologists and medical registrars</t>
  </si>
  <si>
    <t>Health specialties teachers, postsecondary    * Clinical Laboratory Science Professor* Clinical Sciences Professor* Dentistry Professor* Gastroenterology Professor* Neurology Professor* Nutrition Professor* Occupational Therapy Professor* Optometry Professor* Pharmacology Professor* Physical Therapy Professor* Podiatric Medicine Professor* Podiatry Professor* Public Health Professor</t>
  </si>
  <si>
    <t>Health technologists and technicians, all other    * Dialysis Technician* Electroencephalogram (EEG) Technologist* Electroneurodiagnostic Technologist* Encephalographer* Perfusionist* Polysomnograph Tech</t>
  </si>
  <si>
    <t>Healthcare diagnosing or treating practitioners, all other</t>
  </si>
  <si>
    <t>Healthcare practitioners and technical workers, all other    * Podiatric Technician* Traditional Chinese Herbalist</t>
  </si>
  <si>
    <t>Healthcare social workers    * AIDS Social Worker* C-SWHC* Certified Social Workers In Health Care* Healthcare Social Worker* Hospice Home Care Social Worker* Hospice Social Worker* Hospital Social Worker* Medical Social Worker* Neonatal Social Worker* Nephrology Social Worker* Oncology Social Worker* Pediatric Social Worker* Public Health Social Worker* Renal Social Worker</t>
  </si>
  <si>
    <t>Healthcare support workers, all other    * Ortho/Prosthetic Aide</t>
  </si>
  <si>
    <t>Hearing aid specialists    * Hearing Aid Fitter* Hearing Aid Technician* Hearing Instrument Specialist</t>
  </si>
  <si>
    <t>Heat treating equipment setters, operators, and tenders, metal and plastic    * Annealing Furnace Operator* Carburizing Furnace Operator* Flame Hardening Machine Setter* Heat Treater Apprentice* Heat Treating Furnace Tender* Induction Machine Setter* Wire Annealer* Wire Temperer</t>
  </si>
  <si>
    <t>Heating, air conditioning, and refrigeration mechanics and installers    * Air Conditioning Service Technician* Bulk Cooler Installer* Evaporative Cooler Installer* Furnace Converter* Furnace Fitter* Gas Furnace Installer* Heating, Ventilation, and Air Conditioning (HVAC) Mechanic* Oil Burner Repairer* Oil Furnace Installer* Refrigeration Systems Installer* Stoker Installer</t>
  </si>
  <si>
    <t>Heavy and tractor-trailer truck drivers    * Auto Carrier Driver* Cement Truck Driver* Concrete Mixer Driver* Concrete Mixer Truck Driver* Fuel Truck Driver* Garbage Truck Driver* Line Haul Driver* Logging Truck Driver* Moving Van Driver* Over-the-Road Driver* Semi-Truck Driver* Tanker Driver* Tow Truck Operator</t>
  </si>
  <si>
    <t>Helpers, construction trades, all other    * Boiler Coverer Helper* Bridge Ironworker Helper* Carpet Layer Helper* Cellulose Insulation Helper* Construction Ironworker Helper* Cork Insulator Helper* Drywall Hanger Helper* Drywall Stripper Helper* Drywall Taper Helper* HVAC Sheet Metal Installer Helper* Heat and Frost Insulator Helper* Linoleum Layer Helper* Ornamental Ironworker Helper* Pipe Insulator Helper* Plate Glass Installer Helper* Post Tensioning Ironworker Helper* Rod Buster Helper* Sheet Metal Duct Installer Helper* Sheet Rock Installation Helper* Sheet Rock Taper Helper* Stained Glass Glazier Helper* Terrazzo Finisher Helper* Terrazzo Layer Helper* Terrazzo Worker Helper* Trench Digger Helper* Wall Taper Helper* Window Glazier Helper</t>
  </si>
  <si>
    <t>Helpers--brickmasons, blockmasons, stonemasons, and tile and marble setters    * Adobe Layer Helper* Brick Carrier* Brick Washer* Bricklayer Helper* Ceramic Tile Installation Helper* Chimney Builder Helper* Firebrick Layer Helper* Marble Installation Helper* Mortar Mixer* Parquet Floor Layer's Helper* Refractory Tile Helper* Wood Tile Installation Helper</t>
  </si>
  <si>
    <t>Helpers--carpenters    * Beam Builder Helper* Building Carpenter Helper* Carpenter Assistant* Carpenter Helper* Construction Carpenters Helper* Hardwood Floor Installation Helper* House Carpenter Helper</t>
  </si>
  <si>
    <t>Helpers--electricians    * Electrical Sign Wirer Helper* Electrician's Assistant* House Wirer Helper* Marine Electrician Helper* Stage Electrician Helper* Utilities Ground Worker</t>
  </si>
  <si>
    <t>Helpers--extraction workers    * Blaster Helper* Blasting Helper* Boring Machine Operator Helper* Continuous Miner Operator Helper* Driller Helper* Loading Machine Operator Helper* Longwall Machine Operator Helper* Mining Helper* Roof Bolter Helper* Rotary Drill Operator Helper* Shale Planer Operator Helper</t>
  </si>
  <si>
    <t>Helpers--installation, maintenance, and repair workers    * Automobile Body Repairer Helper* Cable Splicer Helper* Hydroelectric Machinery Mechanic Helper* Locksmith Helper* Mechanic's Assistant* Meter Repairer Helper* Motorboat Mechanic Helper* Powerhouse Mechanic Helper* Streetcar Repairer Helper</t>
  </si>
  <si>
    <t>Helpers--painters, paperhangers, plasterers, and stucco masons    * Billboard Poster Helper* Bridge Painter Helper* Dry Plasterer Helper* Highway Painter Helper* House Painter Helper* Ornamental Plasterer Helper* Plaster Tender* Ship Painter Helper* Swimming Pool Plasterer Helper* Wallpaper Hanger Helper* Wallpaperer Helper</t>
  </si>
  <si>
    <t>Helpers--pipelayers, plumbers, pipefitters, and steamfitters    * Gas Main Fitter Helper* Hydraulic Plumber Helper* Industrial Gas Fitter Helper* Marine Pipefitter Helper* Marine Steam Fitter Helper* Pipe Fitter Helper* Plumber Assistant* Plumber Helper* Sewer Pipe Layer Helper* Sprinkler Fitter Helper* Trench Pipe Layer Helper* Water Main Installer Helper</t>
  </si>
  <si>
    <t>Helpers--production workers    * Blending Tank Helper* Commercial Baker Helper* Machinist Helper* Slitter Helper* Tailor Helper* Welder Helper* Woodworker Helper</t>
  </si>
  <si>
    <t>Helpers--roofers    * Hot Tar Roofer Helper* Industrial Roofer Helper* Residential Roofer Helper* Roofer Assistant* Roofer Helper* Roofing Laborer* Shingles Roofer Helper* Slate Roofer Helper* Terra Cotta Roofer Helper</t>
  </si>
  <si>
    <t>Highway maintenance workers    * Highway Maintainer* Highway Maintenance Crew Worker* Highway Worker* Lane Marker Installer* Road Patcher* Road Sign Installer</t>
  </si>
  <si>
    <t>Historians    * Genealogist* Historiographer* Protohistorian</t>
  </si>
  <si>
    <t>History teachers, postsecondary    * African History Professor* American History Professor* Historiography Professor* Jewish History Professor* Russian History Professor* South Asian History Professor</t>
  </si>
  <si>
    <t>Hoist and winch operators    * Hoist Operator* Winch Derrick Operator* Winch Operator</t>
  </si>
  <si>
    <t>Home appliance repairers    * Certified Appliance Service Technician* Electric Stove Installer* Gas Appliance Repairer* Gas Appliance Servicer* Home Appliance Installer* Stove Installer* Vacuum Cleaner Repair Person* Vacuum Cleaner Repairer* Washing Machine Installer* Washing Machine Repairer* Window Air Conditioner Installer</t>
  </si>
  <si>
    <t>Home health and personal care aides</t>
  </si>
  <si>
    <t>Hosts and hostesses, restaurant, lounge, and coffee shop    * Bar Host/Hostess* Bar Hostess* Dining Room Host* Dining Room Host/Hostess* Maitre D'* Tearoom Host/Hostess* Tearoom Hostess</t>
  </si>
  <si>
    <t>Hotel, motel, and resort desk clerks    * Assistant Innkeeper* Hotel Desk Clerk* Hotel Front Desk Clerk* Hotel Registration Clerk* Motel Clerk* Motel Front Desk Attendant* Resort Desk Clerk</t>
  </si>
  <si>
    <t>Human resources assistants, except payroll and timekeeping    * Employment Clerk* HR Clerk* Personnel Clerk</t>
  </si>
  <si>
    <t>Human resources managers    * Employee Relations Manager* Job Analysis Manager* Labor Relations Director* Personnel Administrator* Personnel Director* Personnel Manager* Position Description Manager</t>
  </si>
  <si>
    <t>Human resources specialists    * Corporate Recruiter* Credentialing Coordinator* Employee Placement Specialist* Human Resources Generalist* Job Placement Officer* Job Placement Specialist* Job Recruiter* Personnel Coordinator* Personnel Officer* Personnel Recruiter* Personnel Specialist* Staffing Coordinator</t>
  </si>
  <si>
    <t>Hydrologic technicians</t>
  </si>
  <si>
    <t>Hydrologists    * Hydrogeologist* Hydrologist* Isotope Hydrologist* Surface Hydrologist</t>
  </si>
  <si>
    <t>Industrial engineering technologists and technicians    * Industrial Engineering Technician* Motion Study Technician* Production Control Technologist* Time Study Technician* Time Study Technologist</t>
  </si>
  <si>
    <t>Industrial engineers    * Efficiency Engineer* Manufacturing Engineer* Packaging Engineer* Production Engineer</t>
  </si>
  <si>
    <t>Industrial machinery mechanics    * Bag Machine Adjuster* Boilerhouse Mechanic* Foundry Equipment Mechanic* Hydroelectric Machinery Mechanic* Industrial Conveyor Belt Repairer* Loom Fixer* Loom Technician</t>
  </si>
  <si>
    <t>Industrial production managers    * Industrial Production Manager* Manufacturing Director* Plant Chief* Plant Manager* Plant Superintendent* Production Control Manager</t>
  </si>
  <si>
    <t>Industrial truck and tractor operators    * Forklift Driver* Forklift Operator* Front-End Loader Operator* Hydraulic Lift Driver* Industrial Truck Operator* Reach-Lift Truck Driver* Stacker Operator</t>
  </si>
  <si>
    <t>Industrial-organizational psychologists    * Engineering Psychologist* Human Resources Psychologist* I/O Psychologist* Industrial Psychologist* Management Psychologist* Organizational Psychologist* Organizational Research Consultant* Personnel Research Psychologist</t>
  </si>
  <si>
    <t>Information and record clerks, all other    * Election Clerk* Flight Crew Scheduler* Probate Clerk* Student Admissions Clerk</t>
  </si>
  <si>
    <t>Information security analysts</t>
  </si>
  <si>
    <t>Inspectors, testers, sorters, samplers, and weighers    * Ampoule Examiner* Bag Grader* Cigarette Examiner* Compressed Gas Tester* Machined Parts Quality Inspector* Petroleum Sampler* Quality Assurance Inspector* Quality Control Inspector* Quality Inspector* Spark Plug Tester</t>
  </si>
  <si>
    <t>Installation, maintenance, and repair workers, all other    * Bowling Alley Mechanic* Fire Extinguisher Installer* Gasoline Pump Installer* Gunsmith* Ski Lift Mechanic* Wheelwright* Windmill Mechanic* Window Shade Installer</t>
  </si>
  <si>
    <t>Instructional coordinators    * Curriculum Coordinator* Curriculum Designer* Curriculum Specialist* Curriculum and Assessment Director* Curriculum and Instruction Director* Instructional Coordinator* Instructional Materials Director* School Curriculum Developer* Special Education Curriculum Specialist</t>
  </si>
  <si>
    <t>Insulation workers, floor, ceiling, and wall    * Ceiling Insulation Blower* Composition Weatherboard Installer* Cork Insulation Installer* Cork Insulator* Insulation Machine Operator* Interior Surface Insulation Worker* Wall Insulation Sprayer</t>
  </si>
  <si>
    <t>Insulation workers, mechanical    * Boiler Coverer* Heat and Frost Insulator* Pipe Coverer* Pipe Insulator* Refrigeration Insulator* Sheet Metal Insulator</t>
  </si>
  <si>
    <t>Insurance appraisers, auto damage    * Auto Damage Appraiser* Auto Damage Insurance Appraiser* Automobile Damage Appraiser* Vehicle Damage Appraiser</t>
  </si>
  <si>
    <t>Insurance claims and policy processing clerks    * Insurance Claims Clerk* Insurance Clerk* Insurance Examining Clerk* Insurance Policy Issue Clerk* Underwriting Assistant* Underwriting Clerk</t>
  </si>
  <si>
    <t>Insurance sales agents    * Health Insurance Sales Agent* Insurance Agent* Insurance Broker* Life Insurance Agent* Life Insurance Salesperson* Pension Agent</t>
  </si>
  <si>
    <t>Insurance underwriters    * Automobile and Property Underwriter* Bond Underwriter* Insurance Analyst* Insurance Underwriter* Insurance Writer* Underwriting Account Representative* Underwriting Service Representative</t>
  </si>
  <si>
    <t>Interior designers    * Certified Kitchen Designer* Furniture Arranger* Home Lighting Adviser* Interior Decorator* Interior Designer* Kitchen Designer* Kitchen and Bath Designer</t>
  </si>
  <si>
    <t>Interpreters and translators    * American Sign Language Interpreter* Court Interpreter* Deaf Interpreter* Diplomatic Interpreter* Language Translator* Translator</t>
  </si>
  <si>
    <t>Interviewers, except eligibility and loan    * Admitting Interviewer* Census Clerk* Census Taker* Field Enumerator* Market Research Interviewer* Outpatient Interviewing Clerk* Survey Interviewer* Telephone Interviewer</t>
  </si>
  <si>
    <t>Janitors and cleaners, except maids and housekeeping cleaners    * Building Custodian* Cleaning and Maintenance Worker* Custodial Worker* Custodian* Floor Cleaner* Heavy Duty Custodian* Industrial Plant Custodian* Janitor* Office Cleaner* School Custodian* Window Cleaner* Window Washer</t>
  </si>
  <si>
    <t>Jewelers and precious stone and metal workers    * Diamond Grader* Diamond Polisher* Diamond Setter* Facetor* Gem Cutter* Gemologist* Goldsmith* Jewelry Repairer* Jewelsmith* Lapidarist* Pewterer* Silversmith</t>
  </si>
  <si>
    <t>Judges, magistrate judges, and magistrates    * Administrative Court Justice* Circuit Court Judge* County Court Judge* Criminal Court Judge* District Court Judge* Jurist* Justice* Probate Judge* Trial Court Judge* Tribal Judge</t>
  </si>
  <si>
    <t>Judicial law clerks    * Judicial Clerk</t>
  </si>
  <si>
    <t>Kindergarten teachers, except special education    * Bilingual Kindergarten Teacher* Kindergarten Teacher</t>
  </si>
  <si>
    <t>Labor relations specialists    * Employee Relations Specialist* Industrial Relations Analyst* Industrial Relations Specialist* Labor Relations Consultant* Labor Relations Representative* Union Representative</t>
  </si>
  <si>
    <t>Laborers and freight, stock, and material movers, hand    * Cargo Handler* Cart Pusher* Freight Handler* Grave Digger* Manufacturing Laborer* Material Handler* Package Handler* Shipping and Receiving Material Handler* Stock Mover* Van Loader* Wharf Laborer</t>
  </si>
  <si>
    <t>Landscape architects    * Golf Course Architect* Golf Course Designer* Landscape Designer* Lanscape Architect</t>
  </si>
  <si>
    <t>Landscaping and groundskeeping workers    * Golf Course Laborer* Greenskeeper* Greenskeeper Laborer* Grounds Caretaker* Grounds Maintenance Worker* Hedge Trimmer* Lawn Care Worker* Lawn Caretaker* Lawn Maintenance Worker* Lawn Mower* Lawn Service Worker* Shrub Planter* Sod Layer</t>
  </si>
  <si>
    <t>Lathe and turning machine tool setters, operators, and tenders, metal and plastic    * Engine Lathe Operator* Gear Cutter* Screw Machine Operator* Screw Machine Tool Setter</t>
  </si>
  <si>
    <t>Laundry and dry-cleaning workers    * Drycleaner* Launderer* Laundress* Laundry Attendant* Laundry Equipment Operator* Laundry Operator* Laundry Sorter* Laundry Worker* Precision Dyer</t>
  </si>
  <si>
    <t>Law teachers, postsecondary    * Constitutional Law Professor* Contracts Law Professor* Criminal Law Professor* Environmental Law Professor* Labor Law Professor* Torts Law Professor</t>
  </si>
  <si>
    <t>Lawyers    * Agency Legal Counsel* Assistant Attorney General* Assistant Corporation Counsel* Assistant Counsel* Associate Attorney* Attorney* Attorney At Law* Attorney General* Brief Writer* City Attorney* Civil Lawyer* Commonwealth Attorney* Corporate Attorney* Corporate Counsel* Corporate Counselor* County Attorney* Defense Attorney* Deputy Attorney General* Deputy Chief Counsel* District Attorney* Environmental Attorney* Estate Conservator* General Counsel* Insurance Attorney* Lawyer* Legal Counsel* Probate Lawyer* Prosecutor* Public Defender* Real Estate Attorney* Sports Attorney* Tax Attorney* Trial Attorney* Trial Lawyer</t>
  </si>
  <si>
    <t>Layout workers, metal and plastic    * Shipfitter* Shipfitter Apprentice</t>
  </si>
  <si>
    <t>Legal secretaries and administrative assistants    * Accredited Legal Secretary* Certified Legal Secretary Specialist* Law Secretary* Legal Administrative Assistant</t>
  </si>
  <si>
    <t>Legal support workers, all other    * Legal Technician</t>
  </si>
  <si>
    <t>Legislators    * City Alderman* City Council Member* Congressional Representative* Councilor* Legislator* Member of Congress* Selectman* Senator* Tribal Council Member</t>
  </si>
  <si>
    <t>Librarians and media collections specialists</t>
  </si>
  <si>
    <t>Library assistants, clerical    * Book Sorter* Braille and Talking Books Clerk* Circulation Clerk* Film Library Clerk* Library Aide* Library Assistant* Library Circulation Clerk* Library Clerk* Medical Library Assistant* Microfilm Clerk</t>
  </si>
  <si>
    <t>Library science teachers, postsecondary    * Library and Information Science Professor* Library and Information Technology Instructor* Medical Records Library Professor</t>
  </si>
  <si>
    <t>Library technicians    * Cataloging Library Technical Assistant* Library Acquisitions Technician* Library Cataloging Technician* Library Circulation Technician* Library Technical Assistant* Serials or Bindery Library Technical Assistant</t>
  </si>
  <si>
    <t>Licensed practical and licensed vocational nurses    * LP Nurse* LPN* LVN* Licensed Practical Nurse* Licensed Vocational Nurse* Pediatric Licensed Practical Nurse* Triage Licensed Practical Nurse</t>
  </si>
  <si>
    <t>Life scientists, all other    * Life Science Taxonomist</t>
  </si>
  <si>
    <t>Life, physical, and social science technicians, all other    * Meteorological Aide* Polygraph Examiner</t>
  </si>
  <si>
    <t>Lifeguards, ski patrol, and other recreational protective service workers    * Beach Lifeguard* Certified Ski Patroller* Life Guard* OEC Technician* Outdoor Emergency Care Technician* Pool Lifeguard* Ski Patrol</t>
  </si>
  <si>
    <t>Light truck drivers    * Pharmacy Delivery Driver</t>
  </si>
  <si>
    <t>Lighting technicians</t>
  </si>
  <si>
    <t>Loading and moving machine operators, underground mining</t>
  </si>
  <si>
    <t>Loan interviewers and clerks    * Loan Interviewer* Loan Processor* Mortgage Closing Clerk* Mortgage Loan Closer* Mortgage Loan Processing Clerk* Mortgage Loan Processor* Mortgage Processor</t>
  </si>
  <si>
    <t>Loan officers    * Branch Lending Officer* Commercial Lender* Loan Analyst* Loan Officer* Loan Reviewer* Real Estate Loan Officer</t>
  </si>
  <si>
    <t>Locker room, coatroom, and dressing room attendants    * Athletic Equipment Manager* Bathhouse Attendant* Checkroom Attendant* Cloak Room Attendant* Coat Checker* Ladies Locker Room Attendant* Locker Room Attendant* Locker Room Manager* Locker Room Supervisor* Washroom Attendant</t>
  </si>
  <si>
    <t>Locksmiths and safe repairers    * Key Maker* Keysmith* Lock Expert* Lock Fitter* Lock Setter* Lock Technician* Locksmith* Safe and Vault Installer* Safe and Vault Mechanic</t>
  </si>
  <si>
    <t>Locomotive engineers    * Freight Engineer* Railroad Engineer* Railway Engineer* Train Engineer</t>
  </si>
  <si>
    <t>Lodging managers    * Bed and Breakfast Innkeeper* Boardinghouse Keeper* Hotel Director* Hotel Manager* Hotel Operations Manager* Innkeeper* Lodging Facilities Manager</t>
  </si>
  <si>
    <t>Log graders and scalers    * Log Check Scaler* Log Grader* Log Scaler* Log Sorter* Timber Estimator* Veneer Grader</t>
  </si>
  <si>
    <t>Logging equipment operators    * Delimber Operator* Feller Buncher Operator* Feller Operator* Grapple Operator* Grapple Skidder Operator* Log Hauler* Log Processor Operator* Log Stacker Operator* Logging Crane Operator* Logging Shovel Operator* Logging Tractor Operator* Lumber Stacker Operator* Timber Harvester Operator* Tree-Shear Operator</t>
  </si>
  <si>
    <t>Logging workers, all other    * Log Cutter* Log Peeler* Log Roper* Rigging Slinger* Timber Hand</t>
  </si>
  <si>
    <t>Logisticians    * Logistician* Logistics Analyst* Logistics Coordinator* Logistics Planner* Logistics Specialist</t>
  </si>
  <si>
    <t>Machine feeders and offbearers    * Brick Offbearer* Chain Offbearer* Chopper Feeder* Doffer* Dryer Feeder* Hopper Feeder* Hopper Filler* Line Feeder* Offbearer* Packing Machine Can Feeder* Spike Machine Feeder* Spinning Doffer* Spooler Operator</t>
  </si>
  <si>
    <t>Machinists    * Automotive Machinist* CNC Machinist* Gear Machinist* Manual Lathe Machinist* Precision Machinist* Production Machinist* Tool Room Machinist</t>
  </si>
  <si>
    <t>Magnetic resonance imaging technologists    * Computed Tomography/Magnetic Resonance Imaging (CT/MRI) Technologist* MRI Technologist</t>
  </si>
  <si>
    <t>Maids and housekeeping cleaners    * Chambermaid* Cleaning Maid* Cottage Attendant* Domestic Maid* House Cleaner* Housekeeping Aide* Housekeeping Staff* Motel Maid* Ward Maid</t>
  </si>
  <si>
    <t>Mail clerks and mail machine operators, except postal service    * Direct Mail Clerk* Mailroom Clerk* Packaging Clerk</t>
  </si>
  <si>
    <t>Maintenance and repair workers, general    * Building Maintenance Mechanic* Building Mechanic* Building Services Mechanic* Maintenance Mechanic* Mechanics Handyman* Plant Maintenance Technician</t>
  </si>
  <si>
    <t>Maintenance workers, machinery    * Crane Oiler</t>
  </si>
  <si>
    <t>Makeup artists, theatrical and performance    * Special Effects Makeup Artist</t>
  </si>
  <si>
    <t>Management analysts    * Business Analyst* Business Consultant* Business Management Analyst* Business Process Consultant* Clerical Methods Analyst* Commercial Specialist* Industrial Analyst* Management Analyst* Management Consultant* Records Management Analyst</t>
  </si>
  <si>
    <t>Managers, all other    * Clerk of Court* Director of Entertainment* Environmental Control Administrator* Highway Patrol Commander* Safety Coordinator* Social Science Manager* Utilities Manager</t>
  </si>
  <si>
    <t>Manicurists and pedicurists    * Fingernail Sculptor* Nail Technician* Pedicurist</t>
  </si>
  <si>
    <t>Manufactured building and mobile home installers    * Housetrailer Servicer* Mobile Home Mechanic* Mobile Home Servicer* Mobile Home Technician* Modular Home Crew Member</t>
  </si>
  <si>
    <t>Marine engineers and naval architects    * Marine Architect* Marine Equipment Engineer* Marine Structural Designer* Naval Engineer* Ships Equipment Engineer</t>
  </si>
  <si>
    <t>Market research analysts and marketing specialists    * Market Research Analyst* Market Research Specialist* Marketing Analyst* Marketing Consultant* Marketing Forecaster* Marketing Specialist</t>
  </si>
  <si>
    <t>Marketing managers    * Internet Marketing Manager* Marketing Administrator* Marketing Director* VP Marketing</t>
  </si>
  <si>
    <t>Marriage and family therapists    * Child and Family Counselor* Couples Therapist* Family Counselor* Family Therapist* Marriage Counselor* Marriage Therapist* Relationship Counselor</t>
  </si>
  <si>
    <t>Massage therapists    * Deep Tissue Massage Therapist* Licensed Massage Practitioner* Licensed Massage Therapist* Massage Therapist* Masseur* Masseuse* Massotherapist* Rolfer* Swedish Masseuse</t>
  </si>
  <si>
    <t>Material moving workers, all other    * Freight Elevator Operator</t>
  </si>
  <si>
    <t>Materials engineers    * Automotive Sheet Metal Engineer* Ceramic Engineer* Forensic Materials Engineer* Glass Science Engineer* Metallographer* Metallurgical Engineer* Metallurgist* Welding Engineer</t>
  </si>
  <si>
    <t>Materials scientists    * Materials Scientist* Metal Alloy Scientist* Plastics Scientist</t>
  </si>
  <si>
    <t>Mathematical science occupations, all other    * Harmonic Analyst</t>
  </si>
  <si>
    <t>Mathematical science teachers, postsecondary    * Actuarial Science Professor* Biostatistics Professor* Calculus Professor* Geometry Professor* Mathematics Professor* Statistical Methods Professor* Statistics Professor* Topology Professor</t>
  </si>
  <si>
    <t>Mathematicians    * Algebraist* Cipher Expert* Cryptanalyst* Cryptographer* Cryptographic Vulnerability Analyst* Geometrician* Mathematician</t>
  </si>
  <si>
    <t>Meat, poultry, and fish cutters and trimmers    * Crab Picker* Deboner* Fish Cutter* Fish Filleter* Frozen Meat Cutter* Meat Trimmer* Oyster Shucker* Poultry Cutter* Poultry Eviscerator* Shrimp Peeler* Shrimp Picker* Wing Scorer</t>
  </si>
  <si>
    <t>Mechanical door repairers    * Automatic Door Mechanic* Door Closer Mechanic* Garage Door Technician* Mechanical Door Repairer* Overhead Door Technician</t>
  </si>
  <si>
    <t>Mechanical drafters    * Aeronautical Drafter* Automotive Design Drafter* Die Designer* Gage Designer* Mechanical Design Drafter* Mechanical Drafter* Tool Designer* Tool and Die Designer</t>
  </si>
  <si>
    <t>Mechanical engineering technologists and technicians    * Gyroscopic Engineering Technician* Heat Transfer Technician* Hydraulic Technician* Mechanical Engineering Technician* Optomechanical Technician</t>
  </si>
  <si>
    <t>Mechanical engineers    * Auto Research Engineer* Combustion Engineer* Engine Designer* Heating and Cooling Systems Engineer* Mechanical Engineer* Tool Engineer* Tool and Die Engineer</t>
  </si>
  <si>
    <t>Media and communication equipment workers, all other    * Dimmer Board Operator* Satellite Communications Operator* Spotlight Operator</t>
  </si>
  <si>
    <t>Media and communication workers, all other    * Stage Technician</t>
  </si>
  <si>
    <t>Medical and health services managers    * Clinic Director* Clinical Services Director* Emergency Medical Service Coordinator* Health Care Manager* Health Services Administrator* Health Services Director* Healthcare Administrator* Healthcare Manager* Hospice Director* Hospice Plan Administrator* Hospital Administrator* Hospital Director* Medical Director* Medical Records Administrator* Medical and Health Information Manager* Mental Health Program Manager* Nursing Home Manager* Nursing Service Director* Occupational Therapy Director* Public Health Administrator* Respiratory Therapy Director* Speech and Hearing Therapy Director* Wellness Director* Wellness Manager</t>
  </si>
  <si>
    <t>Medical appliance technicians    * Arch-Support Maker* Brace Maker* Hearing Aid Repair Technician* Orthopaedic Technician* Orthopaedic Technologist* Orthotic Fabricator Technician* Orthotic Finish Grinding Technician* Orthotics Fitter* Orthotics Technician* Prosthetics Fabrication Technician* Prosthetics Lab Technician* Prosthetics Technician* Surgical Appliance Fitter</t>
  </si>
  <si>
    <t>Medical assistants    * Autopsy Assistant* Certified Medical Assistant* Chiropractic Assistant* Clinical Medical Assistant* Morgue Attendant* Ocular Care Aide* Optometric Aide* Optometrist Assistant* Optometry Assistant* Orthopedic Cast Specialist* Podiatric Aide</t>
  </si>
  <si>
    <t>Medical dosimetrists</t>
  </si>
  <si>
    <t>Medical equipment preparers    * Central Sterile Supply Technician* Certified Registered Central Service Technician* Health Equipment Servicer* Medical Equipment Preparer* Medical Supply Technician* Oxygen Equipment Preparer* Sterile Preparation Technician* Sterile Processing Technician* Sterile Processing and Distribution Technician* Sterilization Specialist* Sterilization Technician</t>
  </si>
  <si>
    <t>Medical equipment repairers    * BMET* Biomedical Electronics Technician* Biomedical Equipment Technician* Certified Biomedical Equipment Technician* Dental Equipment Mechanic* Dental Equipment Repairer* Durable Medical Equipment Repairer* Electromedical Equipment Technician* Radiology Equipment Servicer* Surgical Instrument Mechanic</t>
  </si>
  <si>
    <t>Medical records specialists</t>
  </si>
  <si>
    <t>Medical scientists, except epidemiologists    * Cancer Researcher* Clinical Pharmacologist* Clinical Research Scientist* Gerontologist* Histologist* Histopathologist* Immunochemist* Industrial Pharmacist* Medical Health Researcher* Medical Research Scientist* Medical Scientist* Neuroscientist* Pharmacologist* Serologist* Toxicologist</t>
  </si>
  <si>
    <t>Medical secretaries and administrative assistants    * Dental Secretary* Hospital Secretary* Psychiatric Secretary</t>
  </si>
  <si>
    <t>Medical transcriptionists    * Certified Medical Transcriptionist* Medical Record Transcriber* Medical Stenographer* Medical Transcriber* Medical Transcriptionist* Pathology Transcriptionist* Radiology Transcriptionist* Registered Medical Transcriptionist</t>
  </si>
  <si>
    <t>Meeting, convention, and event planners    * Certified Meeting Professional* Conference Organizer* Conference Planner* Conference Planning Manager* Conference Services Director* Conference Services Manager* Convention Planner* Convention Services Manager* Corporate Meeting Planner* Event Planner* Events Manager* Wedding Planner</t>
  </si>
  <si>
    <t>Mental health and substance abuse social workers    * Community Mental Health Social Worker* Drug Abuse Social Worker* Psychiatric Social Worker* Psychotherapist Social Worker</t>
  </si>
  <si>
    <t>Merchandise displayers and window trimmers    * Display Artist* Display Decorator* Display Designer* Display Specialist* Mannequin Decorator* Merchandise Displayer* Show Floor Decorator* Visual Merchandiser* Visual Merchandising Specialist* Window Decorator* Window Draper* Window Dresser* Window Trimmer</t>
  </si>
  <si>
    <t>Metal workers and plastic workers, all other    * Electrical Discharge Machine Setup Operator* Metal Rivet Machine Operator* Tin Recovery Worker</t>
  </si>
  <si>
    <t>Metal-refining furnace operators and tenders    * Electric Arc Furnace Operator* Melt Room Operator* Smelter Operator</t>
  </si>
  <si>
    <t>Meter readers, utilities    * Electric Meter Reader* Gas Meter Reader* Water Meter Reader</t>
  </si>
  <si>
    <t>Microbiologists    * Bacteriologist* Clinical Microbiologist* Medical Microbiologist* Microbiological Analyst* Public Health Microbiologist* Quality Control Microbiologist* Virologist</t>
  </si>
  <si>
    <t>Middle school teachers, except special and career/technical education    * 7th Grade Social Studies Teacher* Junior High School Teacher* Middle School PE Teacher* Middle School Science Teacher</t>
  </si>
  <si>
    <t>Milling and planing machine setters, operators, and tenders, metal and plastic    * Metal Milling Machine Operator* Metal Rotary Head Milling Machine Setup Operator* Plastic Thread Milling Machine Setup Operator</t>
  </si>
  <si>
    <t>Millwrights    * Construction Millwright* Machine Erector* Machinery Dismantler* Maintenance Millwright* Manufacturing Millwright</t>
  </si>
  <si>
    <t>Mining and geological engineers, including mining safety engineers    * Geophysical Engineer* Mineral Engineer* Mining Engineer* Seismic Engineer</t>
  </si>
  <si>
    <t>Miscellaneous assemblers and fabricators</t>
  </si>
  <si>
    <t>Miscellaneous construction and related workers</t>
  </si>
  <si>
    <t>Mixing and blending machine setters, operators, and tenders    * Asphalt Blender* Clay Mixer* Concrete Batcher* Dye Mixer* Glue Mixer* Ink Blender* Ink Mixer* Plaster Mixer* Resin Mixer</t>
  </si>
  <si>
    <t>Mobile heavy equipment mechanics, except engines    * Bulldozer Mechanic* Construction Equipment Mechanic* Dragline Mechanic* Forklift Mechanic* Forklift Technician</t>
  </si>
  <si>
    <t>Model makers, metal and plastic    * Metal Mockup Maker* Plastic Jig and Fixture Builder</t>
  </si>
  <si>
    <t>Model makers, wood    * Architectural Wood Model Maker</t>
  </si>
  <si>
    <t>Models    * Artist's Model* Clothes Model* Fashion Model* Figure Model* Hand Model* Hat Model* Model* Photographer's Model* Studio Model</t>
  </si>
  <si>
    <t>Molders, shapers, and casters, except metal and plastic    * Almond Paste Molder* Burial Vault Maker* Cigar Roller* Clay Modeler* Concrete Vault Maker* Glass Bender* Glass Block Bender* Glass Blower* Glass Presser* Glass Tube Bender* Mannequin Mold Maker* Neon Glass Bender* Neon Glass Blower* Neon Molder* Neon Tube Bender* Rubber Molder* Stone Carver</t>
  </si>
  <si>
    <t>Molding, coremaking, and casting machine setters, operators, and tenders, metal and plastic    * Aluminum Molding Machine Operator* Blow Mold Operator* Compression Molding Machine Operator* Plastic Cup Fabricating Machine Operator</t>
  </si>
  <si>
    <t>Morticians, undertakers, and funeral arrangers    * Certified Mortician* Funeral Arrangement Director* Funeral Arranger* Funeral Director* Licensed Funeral Director</t>
  </si>
  <si>
    <t>Motion picture projectionists    * Chief Projectionist* Film Projector Operator* Motion Picture Operator* Motion Picture Projectionist* Movie Projectionist* Projector Booth Operator* Stereoptician</t>
  </si>
  <si>
    <t>Motor vehicle operators, all other    * Assembly Line Driver* Ice-Resurfacing Machine Operators* Motorcycle Deliverer* Street Cleaning Equipment Operator* Street Sweeper Operator</t>
  </si>
  <si>
    <t>Motorboat mechanics and service technicians    * Certified Marine Mechanic* Marine Propulsion Technician* Marine Technician* Motorboat Mechanic* Outboard Motor Mechanic* Outboard Technician</t>
  </si>
  <si>
    <t>Motorboat operators    * Launch Operator* Motorboat Operator* Outboard Motorboat Operator* Speedboat Driver* Speedboat Operator* Water Taxi Ferry Operator* Water Taxi Operator</t>
  </si>
  <si>
    <t>Motorcycle mechanics    * ATV Technician* All Terrain Vehicle Technician* Motor Scooter Mechanic* Motorcycle Mechanic* Motorcycle Repairer* Motorcycle Service Technician* Motorcycle Technician* Scooter Mechanic</t>
  </si>
  <si>
    <t>Multiple machine tool setters, operators, and tenders, metal and plastic    * Combination Machine Tool Operator* Multi-operation Forming Machine Setter</t>
  </si>
  <si>
    <t>Museum technicians and conservators    * Art Conservator* Art Preparator* Conservation Technician* Ethnographic Materials Conservator* Museum Exhibit Technician* Objects Conservator* Paintings Conservator* Paper Conservator* Textile Conservator</t>
  </si>
  <si>
    <t>Music directors and composers    * Choir Director* Choirmaster* Chorus Master* Composer* Jingle Writer* Maestro* Music Adapter* Music Arranger* Music Copyist* Music Director* Music Minister* Music Pastor* Orchestra Conductor* Orchestra Director* Orchestrator* Songwriter</t>
  </si>
  <si>
    <t>Musical instrument repairers and tuners    * Accordion Repairer* Band Instrument Repair Technician* Banjo Repairer* Bow Rehairer* Brass and Wind Instrument Repairer* Chip Tuner* Fretted String Instrument Repairer* Guitar Builder* Guitar Repairer* Keyboard Instrument Repairer* Luthier* Mandolin Repairer* Organ Installer* Organ Tuner* Percussion Instrument Repairer* Piano Regulator* Piano Technician* Piano Tuner* Pipe Organ Technician* Stringed Instrument Repairer* Tone Regulator* Violin Repairer</t>
  </si>
  <si>
    <t>Musicians and singers    * Accompanist* Baritone* Bassoonist* Bugler* Cellist* Choir Member* Church Organist* Clarinetist* Concert Pianist* Concert Singer* Double Bass Player* English Horn Player* Flutist* Guitar Player* Guitarist* Harpist* Horn Player* Instrumentalist* Musician* Oboist* Opera Singer* Organist* Percussionist* Pianist* Piano Player* Piccoloist* Rapper* Soloist* Tenor* Timpanist* Trombonist* Trumpet Player* Trumpeter* Violinist* Violist* Vocalist</t>
  </si>
  <si>
    <t>Natural sciences managers    * Agricultural Research Director* Geochemical Manager* Geophysical Manager* Ocean Program Administrator</t>
  </si>
  <si>
    <t>Network and computer systems administrators</t>
  </si>
  <si>
    <t>Neurologists</t>
  </si>
  <si>
    <t>New accounts clerks    * Banking Services Clerk* New Accounts Banking Representative* New Client Banking Services Clerk</t>
  </si>
  <si>
    <t>News analysts, reporters, and journalists</t>
  </si>
  <si>
    <t>Nuclear engineers    * Atomic Process Engineer* Nuclear Engineer* Nuclear Radiation Engineer* Nuclear Steam Supply System Engineer* Radiation Engineer* Reactor Engineer* Reactor Projects Engineer</t>
  </si>
  <si>
    <t>Nuclear medicine technologists    * Certified Nuclear Medicine Technologist* Isotope Technologist* Nuclear Cardiology Technologist* Nuclear Medical Technologist* Radioisotope Technologist* Registered Nuclear Medicine Technologist</t>
  </si>
  <si>
    <t>Nuclear power reactor operators    * Nuclear Control Room Operator* Nuclear Reactor Operator* Nuclear Station Operator* Reactor Operator</t>
  </si>
  <si>
    <t>Nuclear technicians    * Nuclear Monitoring Technician* Nuclear Technician* Radiation Protection Technician* Radiochemical Technician</t>
  </si>
  <si>
    <t>Nurse anesthetists    * Certified Registered Nurse Anesthetist* Certified Registered Nurse Anesthetist (CRNA)* DNAP* Doctor of Nurse Anesthesia Practice* Nurse Anesthetist</t>
  </si>
  <si>
    <t>Nurse midwives    * Certified Nurse Midwife* Certified Nurse Midwife (CNM)</t>
  </si>
  <si>
    <t>Nurse practitioners    * Acute Care Nurse Practitioner* Adult Nurse Practitioner* Cardiology Nurse Practitioner* Certified Nurse Practitioner* Certified Pediatric Nurse Practitioner* Certified Registered Nurse Practitioner* Dermatology Nurse Practitioner* Electrophysiology Nurse Practitioner* Emergency Medicine Nurse Practitioner* Family Health Nurse Practitioner* Family Practice Nurse Practitioner* Gastroenterology Nurse Practitioner* Gerontological Nurse Practitioner* Internal Medicine Nurse Practitioner* NP* Neurosurgical Nurse Practitioner* Nurse Practitioner* Obstetrics-Gynecology Nurse Practitioner* Orthopedic Nurse Practitioner* Palliative Care Nurse Practitioner* Pediatric Nurse Practitioner* Surgical Nurse Practitioner</t>
  </si>
  <si>
    <t>Nursing assistants</t>
  </si>
  <si>
    <t>Nursing instructors and teachers, postsecondary    * Advanced Nursing Professor* Clinical Nursing Instructor* Clinical Nursing Professor* Registered Nursing Professor</t>
  </si>
  <si>
    <t>Obstetricians and gynecologists</t>
  </si>
  <si>
    <t>Occupational health and safety specialists</t>
  </si>
  <si>
    <t>Occupational health and safety technicians</t>
  </si>
  <si>
    <t>Occupational therapists    * OT* Occupational Therapist* Registered Occupational Therapist</t>
  </si>
  <si>
    <t>Occupational therapy aides    * Certified Occupational Rehabilitation Aide* OT Aide* Occupational Rehabilitation Aide* Occupational Therapist Aide* Rehabilitation Services Aide</t>
  </si>
  <si>
    <t>Occupational therapy assistants    * COTA* Certified Occupational Therapy Assistant* Licensed Occupational Therapy Assistant* Occupational Therapist Assistants</t>
  </si>
  <si>
    <t>Office and administrative support workers, all other    * Braille Transcriber* Envelope Stuffer* Fingerprint Clerk* Investigation Clerk* Newspaper Inserter* Notary Public</t>
  </si>
  <si>
    <t>Office clerks, general    * Administrative Clerk* Office Assistant* Office Clerk* Real Estate Clerk</t>
  </si>
  <si>
    <t>Office machine operators, except computer    * Business Machine Operator* Coin Machine Operator* Coin Rolling Machine Operator* Coin Wrapping Machine Operator* Collator Operator* Copy Center Operator* Copy Machine Operator* Duplicating Machine Operator</t>
  </si>
  <si>
    <t>Operating engineers and other construction equipment operators    * Angle Dozer Operator* Blade Grader Operator* Bulldozer Operator* Ditching Machine Operating Engineer* Grader Operator* Motor Grader Operator* Scraper Operator* Steam Shovel Operating Engineer* Steam Shovel Operator</t>
  </si>
  <si>
    <t>Operations research analysts    * Operations Analyst* Operations Research Analyst* Procedure Analyst* Process Analyst</t>
  </si>
  <si>
    <t>Ophthalmic laboratory technicians    * Contact Lens Cutter* Contact Lens Technician* Eyeglass Assembler* Eyeglass Lens Cutter* Eyeglass Maker* Lens Grinder* Lens Grinder and Polisher* Lens Mounter* Precision Lens Centerer and Edger* Prescription Eyeglass Maker</t>
  </si>
  <si>
    <t>Ophthalmic medical technicians    * Ocular Care Technologist* Ophthalmic Technologist</t>
  </si>
  <si>
    <t>Ophthalmologists, except pediatric</t>
  </si>
  <si>
    <t>Opticians, dispensing    * Certified Optician* Contact Lens Fitter* Eyeglass Fitter* Licensed Dispensing Optician* Licensed Optical Dispenser* Licensed Optician* Optical Dispenser* Optician</t>
  </si>
  <si>
    <t>Optometrists    * Doctor of Optometry* Optometrist</t>
  </si>
  <si>
    <t>Oral and maxillofacial surgeons    * Dental Surgeon* Maxillofacial Surgeon* Oral Surgeon</t>
  </si>
  <si>
    <t>Order clerks    * Catalogue Clerk* Classified Ad Clerk* Mail Order Clerk* Order Desk Clerk* Service Order Clerk* Subscription Clerk* Want Ad Clerk</t>
  </si>
  <si>
    <t>Orderlies</t>
  </si>
  <si>
    <t>Orthodontists    * Dentofacial Orthopedics Dentist* Invisible Braces Orthodontist* Orthodontist* Pediatric Orthodontist</t>
  </si>
  <si>
    <t>Orthopedic surgeons, except pediatric</t>
  </si>
  <si>
    <t>Orthotists and prosthetists    * American Board Certified Orthotist* Artificial Limb Fitter* Certified Orthotic Fitter* Certified Prosthetist/Orthotist* Licensed Prosthetist* Orthotic/Prosthetic Practitioner* Orthotist* Pedorthist* Prosthetist</t>
  </si>
  <si>
    <t>Outdoor power equipment and other small engine mechanics    * Chain Saw Mechanic* Edge Trimmer Mechanic* Electric Golf Cart Repairers* Electric Wheelchair Repairer* Go-Cart Mechanic* Golf Cart Mechanic* Lawn Mower Repairer* Mobility Scooter Repairer* Motor Scooter Mechanic* Power Saw Mechanic* Power Wheelchair Mechanic* Snowblower Mechanic* Snowmobile Mechanic</t>
  </si>
  <si>
    <t>Packaging and filling machine operators and tenders    * Bottle Capper* Bottle Line Worker* Bottle Packer* Can Filler* Can Sealer* Keg Filler* Potato Chip Packaging Machine Operator* Tea Bag Packer</t>
  </si>
  <si>
    <t>Packers and packagers, hand    * Bagger* Carton Wrapper* Egg Packer* Gift Wrapper* Grocery Store Bagger* Meat Packager* Meat Wrapper* Utility Bagger</t>
  </si>
  <si>
    <t>Painters, construction and maintenance    * Bridge Painter* Facilities Painter* Highway Painter* House Painter* Industrial Painter* Parking Line Painter* Roof Painter* Traffic Line Painter</t>
  </si>
  <si>
    <t>Painting, coating, and decorating workers    * Ceramic Painter* China Decorator* Glass Decorator* Lacquerer* Sign Painter</t>
  </si>
  <si>
    <t>Paper goods machine setters, operators, and tenders    * Box Fabricator* Carton Making Machine Operator* Corrugated Box Machine Operator* Corrugator Machine Operator* Corrugator Operator* Envelope Machine Operator* Napkin Machine Operator* Paper Bag Machine Operator* Paper Cone Machine Tender* Paper Machine Operator</t>
  </si>
  <si>
    <t>Paperhangers    * Billboard Poster* Paperhanger* Wall Covering Installer* Wallpaper Hanger* Wallpaperer</t>
  </si>
  <si>
    <t>Paralegals and legal assistants    * Assistant Paralegal* Legal Aide* Legal Assistant* Paralegal* Summer Associate* Summer Law Clerk</t>
  </si>
  <si>
    <t>Paramedics</t>
  </si>
  <si>
    <t>Parking attendants    * Auto Parker* Car Jockey* Parking Attendant* Parking Ramp Attendant* Valet Parker* Valet Runner</t>
  </si>
  <si>
    <t>Parking enforcement workers    * Meter Maid* Parking Enforcement Officer* Parking Meter Attendant</t>
  </si>
  <si>
    <t>Parts salespersons    * Appliance Parts Counter Clerk* Auto Parts Salesperson* Electronic Parts Salesperson* Parts Clerk* Parts Counter Clerk</t>
  </si>
  <si>
    <t>Passenger attendants    * Dining Car Steward* Ship Steward* Sleeping Car Service Attendant* Train Attendant</t>
  </si>
  <si>
    <t>Patternmakers, metal and plastic    * Metal Patternmaker</t>
  </si>
  <si>
    <t>Patternmakers, wood    * Wood Die Maker</t>
  </si>
  <si>
    <t>Paving, surfacing, and tamping equipment operators    * Asphalt Paver* Asphalt Paving Machine Operator* Asphalt Roller Operator* Asphalt Tamping Machine Operator* Blacktop-Paver Operator* Paver Operator* Road Grader* Screed Operator</t>
  </si>
  <si>
    <t>Payroll and timekeeping clerks    * Flight Crew Time Clerk* Payroll Bookkeeper* Personnel Scheduler* Time Clerk* Time and Attendance Clerk* Timekeeper</t>
  </si>
  <si>
    <t>Pediatric surgeons</t>
  </si>
  <si>
    <t>Pediatricians, general</t>
  </si>
  <si>
    <t>Personal care and service workers, all other    * Butler* Doula* House Sitter* Magnetic Healer* Shoe Shiner* Valet</t>
  </si>
  <si>
    <t>Personal financial advisors    * Certified Financial Planner* Estate Planner* Estate Planning Counselor* Financial Counselor* Individual Pension Adviser* Individual Pension Consultant* Personal Financial Advisor* Personal Financial Planner* Personal Investment Adviser</t>
  </si>
  <si>
    <t>Personal service managers, all other</t>
  </si>
  <si>
    <t>Pest control workers    * Exterminator* Fumigator* Insecticide Expert* Mosquito Sprayer* Pest Controller* Rat Exterminator* Rodent Exterminator* Termite Technician* Termite Treater</t>
  </si>
  <si>
    <t>Pesticide handlers, sprayers, and applicators, vegetation    * Certified Pesticide Applicator* Fruit Sprayer* Herbicide Sprayer* Orchard Sprayer* Plant Sprayer* Weed Sprayer</t>
  </si>
  <si>
    <t>Petroleum engineers    * Natural Gas Engineer* Oil Drilling Engineer* Oil Exploration Engineer* Oil Well Engineer* Petroleum Engineer</t>
  </si>
  <si>
    <t>Petroleum pump system operators, refinery operators, and gaugers    * Hydrotreater Operator* Oil Gauger* Oil Pipeline Dispatcher* Oil Pipeline Operator* Oil Refiner* Petroleum Plant Operator* Petroleum Refinery Control Panel Operator* Petroleum Refinery Operator* Petroleum Refining Equipment Operator</t>
  </si>
  <si>
    <t>Pharmacists    * Apothecary* Clinical Pharmacist* Druggist* Hospital Pharmacist* Registered Pharmacist</t>
  </si>
  <si>
    <t>Pharmacy aides    * Certified Pharmacist Assistant* Pharmacist Aide* Pharmacist Assistant* Pharmacy Assistant* Pharmacy Clerk* Prescription Clerk</t>
  </si>
  <si>
    <t>Pharmacy technicians    * CPHT* Certified Pharmacy Technician* Pharmacist Technician* Pharmacy Laboratory Technician* Pharmacy Technician</t>
  </si>
  <si>
    <t>Philosophy and religion teachers, postsecondary    * Biblical Studies Professor* Divinity Professor* Eastern Philosophy Professor* Old Testament Professor* Pastoral Ministries Professor* Religious Studies Professor* Theology Professor* Western Philosophy Professor</t>
  </si>
  <si>
    <t>Phlebotomists    * Certified Phlebotomy Technician* Phlebotomist* Phlebotomy Technician* Venipuncturist</t>
  </si>
  <si>
    <t>Photographers    * Advertising Photographer* Aerial Photographer* Industrial Photographer* Marine Photographer* Medical Photographer* News Photographer* Newspaper Photojournalist* Photojournalist* Portrait Photographer* School Photographer* Wedding Photographer</t>
  </si>
  <si>
    <t>Photographic process workers and processing machine operators    * Digital Imaging Technician* Digital Photo Printer* Digital Photo Technician* Digital Retoucher* Film Developing Machine Operator* Film Printer* Film Process Operator* Film Processor* Photo Lab Specialist* Photo Lab Technician* Photo Machine Operator* Photo Print Specialist* Photo Retoucher* Print Retoucher</t>
  </si>
  <si>
    <t>Physical scientists, all other    * Physical Scientist</t>
  </si>
  <si>
    <t>Physical therapist aides    * Clinical Rehabilitation Aide* Physical Therapy Aide* Physiotherapy Aide</t>
  </si>
  <si>
    <t>Physical therapist assistants    * LPTA* Licensed Physical Therapist Assistant* Physical Therapy Assistant* Physical Therapy Technician* Physiotherapy Assistant</t>
  </si>
  <si>
    <t>Physical therapists    * Cardiopulmonary Physical Therapist* Geriatric Physical Therapist* Orthopedic Physical Therapist* PT* Pediatric Physical Therapist* Physical Therapist* Physiotherapist* Pulmonary Physical Therapist* Sports Physical Therapist</t>
  </si>
  <si>
    <t>Physician assistants    * Anesthesiologist Assistant* Certified Physician's Assistant* Family Practice Physician Assistant* Orthopaedic Physician Assistant* Orthopedic Physician Assistant* Pediatric Physician Assistant* Radiology Practitioner Assistant* Surgical Physician Assistant</t>
  </si>
  <si>
    <t>Physicians, all other</t>
  </si>
  <si>
    <t>Physicians, pathologists</t>
  </si>
  <si>
    <t>Physicists    * Fluid Dynamicist* Health Physicist* Mathematical Physicist* Medical Physicist* Molecular Physicist* Nuclear Physicist* Optical Scientist* Research Physicist* Rheologist* Thermodynamic Physicist* Thermodynamicist</t>
  </si>
  <si>
    <t>Physics teachers, postsecondary    * Aerodynamics Professor* Astrophysics Professor* Atomic Physics Professor* Ballistics Professor* Hydrodynamics Professor* Medical Physics Professor* Nuclear Physics Professor* Physical Science Professor* Thermodynamics Professor</t>
  </si>
  <si>
    <t>Pile driver operators    * Diesel Pile Hammer Operator* Hydraulic Pile Hammer Operator* Hydraulic Press-In Operator* Pile Driver Operator* Vibratory Pile Driver</t>
  </si>
  <si>
    <t>Pipelayers    * Cast-Iron Drain Pipe Layer* Pipe Layer* Sewer Pipe Layer* Trench Pipe Layer* Water Main Pipe Layer</t>
  </si>
  <si>
    <t>Plant and system operators, all other    * Asphalt Plant Operator* Concrete Batch Plant Operator* Lime Filter Operator* Sand Plant Attendant</t>
  </si>
  <si>
    <t>Plasterers and stucco masons    * Dry Plasterer* Journey Level Plasterer* Molding Plasterer* Ornamental Plasterer* Plasterer Apprentice* Stucco Plasterer* Stucco Worker* Swimming Pool Plasterer</t>
  </si>
  <si>
    <t>Plating machine setters, operators, and tenders, metal and plastic    * Anodizer* Chrome Plater* Chromium Plater* Copper Plater* Electro Plater* Electrogalvanizing Machine Operator* Electroplater* Galvanizer* Hard Chrome Plater* Metal Plater* Metal Spraying Machine Operator* Metalizing Machine Operator* Nickel Plater* Plating Machine Operator* Tin Plater</t>
  </si>
  <si>
    <t>Plumbers, pipefitters, and steamfitters    * Fire Sprinkler Installer* Gas Main Fitter* Gas Plumber* Hydraulic Plumber* Industrial Gas Fitter* Marine Pipefitter* Marine Steamfitter* Master Plumber* Pipe Fitter* Plumber* Solar Thermal Installer* Sprinkler Fitter* Steamfitter* Water Pump Installer</t>
  </si>
  <si>
    <t>Podiatrists    * Chiropodist* Doctor of Podiatric Medicine* Foot Doctor* Foot Orthopedist* Foot and Ankle Surgeon* Orthopedic Podiatrist* Podiatric Physician</t>
  </si>
  <si>
    <t>Police and sheriff's patrol officers    * Border Guard* Border Patrol Officer* Constable* Cop* Deputy Sheriff* Highway Patrol Officer* Motorcycle Police* Mounted Police* Park Police* Patrol Officer* Policeman* Policewoman* State Highway Police Officer* State Trooper</t>
  </si>
  <si>
    <t>Political science teachers, postsecondary    * Government Professor* International Relations Professor* Political Theory Professor* Public Policy Professor</t>
  </si>
  <si>
    <t>Political scientists    * Government Affairs Researcher* Government Affairs Specialist* Local Governance and Citizen Participation Specialist* Political Consultant* Political Research Scientist* Political Researcher</t>
  </si>
  <si>
    <t>Postal service clerks    * Bulk Mail Clerk* Bulk Mail Technician* Parcel Post Clerk* Postal Clerk* Postal Service Clerk* Postal Service Window Clerk</t>
  </si>
  <si>
    <t>Postal service mail carriers    * City Letter Carrier* Letter Carrier* Mail Deliverer* Parcel Post Carrier* Postal Mail Carrier* Rural Mail Carrier* Rural Route Carrier* USPS Letter Carrier</t>
  </si>
  <si>
    <t>Postal service mail sorters, processors, and processing machine operators    * Flat Sorter Operator* Flat Sorting Machine Clerk* Mail Forwarding System Markup Clerk* Parcel Post Distribution Machine Operator* Post Office Markup Clerk* Postal Service Mail Processor* Small Package and Bundle Sorter Clerk</t>
  </si>
  <si>
    <t>Postmasters and mail superintendents    * Postal Supervisor* Postmaster</t>
  </si>
  <si>
    <t>Postsecondary teachers, all other    * Braille Teacher* Flight Simulator Teacher* Interdisciplinary Professor* Military Science Teacher* Project Management Professor</t>
  </si>
  <si>
    <t>Pourers and casters, metal    * Aluminum Pourer* Ingot Caster* Iron Pourer* Molten Iron Pourer* Steel Pourer* Tin Pourer* White Metal Caster</t>
  </si>
  <si>
    <t>Power distributors and dispatchers    * Power System Dispatcher* Steam Plant Control Room Operator* Steam and Power Panel Operator* Substation Operator</t>
  </si>
  <si>
    <t>Power plant operators    * Hydroelectric Plant Operator* Power Plant Control Room Operator* Powerhouse Operator* Turbine Room Attendant</t>
  </si>
  <si>
    <t>Precision instrument and equipment repairers, all other    * Gyroscope Repairer* Hydrometer Calibrator* Scale Adjuster* Telescope Repairer</t>
  </si>
  <si>
    <t>Prepress technicians and workers    * Digital Proofing and Platemaker* Electronic Pre-Press Technician* Photoengraver* Plate Mounter* Pre-Press Proofer* Prepress Stripper* Type Setter</t>
  </si>
  <si>
    <t>Preschool teachers, except special education    * Early Childhood Teacher* Head Start Teacher* Nursery School Teacher* Nursery Teacher* Pre-K Teacher* Pre-Kindergarten Teacher* Preschool Teacher</t>
  </si>
  <si>
    <t>Pressers, textile, garment, and related materials    * Clothes Ironer* Clothes Presser* Clothing Presser* Garment Presser* Pants Presser* Shirt Presser* Silk Presser* Wool Presser</t>
  </si>
  <si>
    <t>Print binding and finishing workers    * Bindery Cutter Operator* Bindery Folder Operator* Bindery Machine Operator* Bindery Worker* Book Repairer* Bookbinder* Bookbinding Machine Operator* Case Binder Operator* Foil Stamp Operator* Perfect Binder Operator* Saddle Stitch Operator* Saddle Stitcher Operator* Spiral Binder Operator</t>
  </si>
  <si>
    <t>Printing press operators    * Digital Press Operator* Flexographic Press Operator* Gravure Press Operator* Lithograph Press Operator* Lithographing Machine Operator* Offset Lithographic Press Setter and Set-Up Operator* Offset Press Operator* Printing Machine Operator* Screen Printing Machine Operator* Screen Printing Press Operator* Silk Screen Operator* Silk Screen Printer* Web Offset Press Feeder* Web Press Operator</t>
  </si>
  <si>
    <t>Private detectives and investigators    * Certified Legal Investigator* Licensed Private Investigator* Loss Prevention Detective* Private Detective* Private Eye* Private Investigator* Skip Tracer* Store Detective</t>
  </si>
  <si>
    <t>Probation officers and correctional treatment specialists    * Correctional Treatment Specialist* Juvenile Probation Officer* Parole Agent* Parole Officer* Probation Officer</t>
  </si>
  <si>
    <t>Procurement clerks    * Procurement Assistant* Procurement Clerk* Purchasing Assistant* Purchasing Clerk</t>
  </si>
  <si>
    <t>Producers and directors    * Broadcast Producer* Casting Director* Film Maker* Independent Film Maker* Independent Video Producer* Motion Picture Director* Movie Producer* Music Video Director* Music Video Producer* News Production Supervisor* Newscast Director* Newscast Producer* On-Air Director* Pageant Director* Radio Producer* Radio Television Technical Director* Stage Manager* Television News Producer* Television Newscast Director* Television Producer* Television Program Director* Theater Company Producer* Video Producer</t>
  </si>
  <si>
    <t>Production workers, all other</t>
  </si>
  <si>
    <t>Production, planning, and expediting clerks    * Expeditor* Material Control Clerk* Material Expediter* Mill Recorder* Production Control Clerk* Production Control Coordinating Clerk* Production Control Coordinator* Production Scheduler* Work Ticket Distributor</t>
  </si>
  <si>
    <t>Project management specialists</t>
  </si>
  <si>
    <t>Proofreaders and copy markers    * Braille Proofreader* Clerical Proofreader* Copy Reader* Editorial Assistant* Format Proofreader* Proofreader</t>
  </si>
  <si>
    <t>Property appraisers and assessors</t>
  </si>
  <si>
    <t>Property, real estate, and community association managers    * Apartment Manager* Building Rental Manager* Community Association Manager* Condominium Association Manager* Homeowner Association Manager* Land Acquisition Manager* Leasing Property Manager* Property Manager* Real Estate Manager</t>
  </si>
  <si>
    <t>Prosthodontists    * Maxillofacial Prosthetics Dentist* Maxillofacial Prosthodontist* Prosthodontist* Reconstructive Dentist</t>
  </si>
  <si>
    <t>Protective service workers, all other    * Bus Monitor* Playground Monitor* Warrant Server</t>
  </si>
  <si>
    <t>Psychiatric aides</t>
  </si>
  <si>
    <t>Psychiatric technicians    * Behavioral Health Technician* Mental Health Technician* Psychiatric Technician</t>
  </si>
  <si>
    <t>Psychiatrists</t>
  </si>
  <si>
    <t>Psychologists, all other    * Developmental Psychologist* Experimental Psychologist* Forensic Psychologist* Neuropsychologist* Psychometrist* Psychotherapist* Rehabilitation Psychologist* Social Psychologist* Sports Psychologist</t>
  </si>
  <si>
    <t>Psychology teachers, postsecondary    * Applied Psychology Professor* Child Development Professor* Clinical Psychology Professor* Educational Psychology Professor* Human Relations Professor* Industrial Psychology Professor* Industrial/Organizational Psychology Professor* Psychology Professor</t>
  </si>
  <si>
    <t>Public relations managers</t>
  </si>
  <si>
    <t>Public relations specialists    * Environmental Communications Specialist* Lobbyist* Media Relations Specialist* Press Agent* Press Secretary* Public Affairs Officer* Public Relations Counselor* Public Relations Officer* Public Relations Representative* Publicist* Publicity Agent* Publicity Writer</t>
  </si>
  <si>
    <t>Public safety telecommunicators    * 911 Dispatcher* 911 Operator* Ambulance Dispatcher* Emergency Communications Dispatcher* Emergency Communications Operator* Emergency Operator* Emergency Telecommunications Dispatcher* Fire Dispatcher* Police Dispatcher* Police Radio Dispatcher</t>
  </si>
  <si>
    <t>Pump operators, except wellhead pumpers    * Acid Pump Operator* Brewery Pumper* Concrete Pump Operator* Fluid Pump Operator</t>
  </si>
  <si>
    <t>Purchasing managers    * Contract Administrator* Contracting Manager* Director of Strategic Sourcing* Procurement Manager* Purchasing Director* Purchasing Manager* Sourcing Manager</t>
  </si>
  <si>
    <t>Radiation therapists    * Dosimetrist* Radiation Therapist* Radiation Therapy Technologist* Registered Radiation Therapist</t>
  </si>
  <si>
    <t>Radio, cellular, and tower equipment installers and repairers    * Radio Frequency Technician* Radio Mechanic* Radio Repairer* Two-Way Radio Technician</t>
  </si>
  <si>
    <t>Radiologic technologists and technicians    * Computed Axial Tomography Technologist* Computed Tomography (CT) Scanner Operator* Radiologic Technician* Registered Radiologic Technologist* Skiagrapher* X-Ray Technician</t>
  </si>
  <si>
    <t>Radiologists</t>
  </si>
  <si>
    <t>Rail car repairers    * Freight Car Repairer* Mine Car Mechanic* Rail Car Maintenance Mechanic* Rail Car Mechanic* Streetcar Repairer* Subway Car Repairer* Tank Car Reconditioner* Trolley Car Mechanic* Trolley Car Overhauler</t>
  </si>
  <si>
    <t>Rail transportation workers, all other    * Railway Equipment Operator* Retarder Operator* Transfer Table Operator</t>
  </si>
  <si>
    <t>Rail yard engineers, dinkey operators, and hostlers    * Coal Tram Driver* Dinkey Driver* Dinkey Operator* Engine Hostler* Haulage Engine Operator* Railcar Switcher* Yard Hostler</t>
  </si>
  <si>
    <t>Rail-track laying and maintenance equipment operators    * Ballast Cleaning Machine Operator* Rail Maintenance Worker* Railroad Track Mechanic* Track Layer* Track Machine Operator* Track Maintainer* Track Moving Machine Operator* Track Repair Worker* Track Repairer* Track Service Worker* Track Surfacing Machine Operator* Trackwalker</t>
  </si>
  <si>
    <t>Railroad brake, signal, and switch operators and locomotive firers</t>
  </si>
  <si>
    <t>Railroad conductors and yardmasters    * Freight Conductor* Passenger Car Conductor* Train Conductor* Yard Conductor</t>
  </si>
  <si>
    <t>Real estate brokers    * Licensed Real Estate Broker* Real Estate Broker</t>
  </si>
  <si>
    <t>Real estate sales agents    * Agricultural Real Estate Agent* Apartment Rental Agent* Industrial Real Estate Agent* Land Sales Agent* Right of Way Agent</t>
  </si>
  <si>
    <t>Receptionists and information clerks    * Appointment Clerk* Dental Receptionist* Front Desk Receptionist* Land Leasing Information Clerk</t>
  </si>
  <si>
    <t>Recreation and fitness studies teachers, postsecondary    * Health and Physical Education Professor* Human Performance Professor* Kinesiology Professor* Leisure Studies Professor* Physical Education (PE) Professor* Physical Education Professor* Swimming Professor</t>
  </si>
  <si>
    <t>Recreation workers    * Activities Aide* Activities Assistant* Activities Coordinator* Activities Leader* Camp Counselor* Playground Worker* Recreation Activities Coordinator* Recreation Assistant* Recreational Aide</t>
  </si>
  <si>
    <t>Recreational therapists    * CTRS* Certified Recreational Therapist* Certified Therapeutic Recreation Specialist* Drama Therapist* Recreational Therapist* Therapeutic Recreation Specialist</t>
  </si>
  <si>
    <t>Recreational vehicle service technicians    * Master Certified RV Technician* Mobile Service Recreational Vehicle Technician* RV Mechanic* RV Servicer* RVDA Master Certified RV Technician* Recreational Vehicle (RV) Repairer* Recreational Vehicle Mechanic</t>
  </si>
  <si>
    <t>Refractory materials repairers, except brickmasons    * Bondactor Machine Operator* Cupola Repairer* Kiln Door Builder* Ladle Repairer* Refractory Repairer</t>
  </si>
  <si>
    <t>Refuse and recyclable material collectors    * Garbage Collector* Recyclable Materials Collector* Refuse Collector* Scrap Metal Collector* Solid Waste Collector* Trash Collector</t>
  </si>
  <si>
    <t>Registered nurses    * CCU Nurse* CNS* Clinical Nurse Specialist* Community Health Nurse* Coronary Care Unit Nurse* Emergency Room RN* Endoscopy Registered Nurse* Hospice Registered Nurse* Obstetrical Nurse* Oncology Registered Nurse* PACU Nurse* Pediatric Registered Nurse* Post-Anesthesia Care Unit Nurse* Psychiatric Nurse* RN* Registered Nurse* Triage Registered Nurse</t>
  </si>
  <si>
    <t>Rehabilitation counselors    * Certified Rehabilitation Counselor* Coordinator of Rehabilitation Services* Psychosocial Rehabilitation Counselor* Rehabilitation Counselor* Veterans Rehabilitation Counselor* Vocational Rehabilitation Counselor</t>
  </si>
  <si>
    <t>Reinforcing iron and rebar workers    * Post Tensioning Ironworker* Rebar Worker* Reinforcing Steel  Worker* Rod Buster* Steel Rod Buster* Steel Tier</t>
  </si>
  <si>
    <t>Religious workers, all other    * Buddhist Monk* Christian Science Nurse* Missionary* Mohel* Nun* Pastoral Worker* Prior* Sacristan* Sunday School Missionary* Traveling Missionary* Verger</t>
  </si>
  <si>
    <t>Reservation and transportation ticket agents and travel clerks    * Airline Reservation Agent* Airline Reservationist* Airline Ticket Agent* Gate Agent* Hotel Reservationist* Passenger Agent* Passenger Booking Clerk* Reservation Agent* Reservation Sales Agent* Train Clerk* Train Reservation Clerk* Transportation Clerk* Travel Clerk</t>
  </si>
  <si>
    <t>Residential advisors    * Dormitory Counselor* House Parent* Residence Director* Residence Life Coordinator* Residential Advisor* Residential Director* Residential Life Director* Sorority Mother</t>
  </si>
  <si>
    <t>Respiratory therapists    * CRT* Certified Respiratory Therapist* Inhalation Therapist* Oxygen Therapist* RRT* Registered Respiratory Therapist* Respiratory Therapist</t>
  </si>
  <si>
    <t>Retail salespersons    * Automotive Salesperson* Department Store Salesperson* Menswear Salesperson* New Car Salesperson* Pet Supplies Salesperson* Pets Salesperson* Shoe Salesperson* Used Car Salesperson* Women's Apparel Salesperson</t>
  </si>
  <si>
    <t>Riggers    * Acrobatic Rigger* Boat Rigger* Crane Rigger* Fly Rail Operator* Gantry Rigger* High Rigger* Marine Rigger* Parachute Rigger* Ship Rigger* Theatrical Rigger* Wire Rigger* Yacht Rigger* Yard Rigger</t>
  </si>
  <si>
    <t>Rock splitters, quarry    * Quarry Plug and Feather Driller* Sandstone Splitter</t>
  </si>
  <si>
    <t>Rolling machine setters, operators, and tenders, metal and plastic    * Brass Roller* Forming Roll Operator* Metal Sheet Roller Operator* Pipe Straightener* Plastic Straightening Roll Operator* Steel Roller</t>
  </si>
  <si>
    <t>Roof bolters, mining</t>
  </si>
  <si>
    <t>Roofers    * Composition Roofer* Hot Tar Roofer* Industrial Roofer* Metal Roofing Mechanic* Residential Roofer* Roofer* Sheet Metal Roofer* Shingles Roofer* Slate Roofer* Terra Cotta Roofer</t>
  </si>
  <si>
    <t>Rotary drill operators, oil and gas    * Drilling Rig Operator* Natural Gas Shothole Driller* Oil Driller* Oil Rig Driller* Oil Well Cable Tool Driller* Oil Well Cable Tool Operator* Oil Well Driller* Prospecting Driller</t>
  </si>
  <si>
    <t>Roustabouts, oil and gas    * Oil Field Roustabout* Oil Rig Roughneck* Roustabout* Roustabout Pusher</t>
  </si>
  <si>
    <t>Sailors and marine oilers    * Able Seaman* Deck Cadet* Deck Hand* Deckhand* Merchant Mariner* Merchant Seaman* Ordinary Seaman* Sailor* Vessel Ordinary Seaman</t>
  </si>
  <si>
    <t>Sales and related workers, all other    * Auctioneer* Blood Donor Recruiter* Leaflet Distributor* Livestock Auctioneer* Personal Shopper* Store Gift Wrap Associate</t>
  </si>
  <si>
    <t>Sales engineers    * Aerospace Products Sales Engineer* Missile Navigation Systems Sales Engineer* Nuclear Equipment Sales Engineer</t>
  </si>
  <si>
    <t>Sales managers    * District Sales Manager* E-Commerce Director* Export Manager* Regional Sales Manager* Sales Account Manager* Sales Director* Territory Sales Manager</t>
  </si>
  <si>
    <t>Sales representatives of services, except advertising, insurance, financial services, and travel</t>
  </si>
  <si>
    <t>Sales representatives, wholesale and manufacturing, except technical and scientific products    * Bottling Equipment Sales Representative* Freight Broker* Hotel Supplies Salesperson* Mortician Supplies Sales Representative* Pulpwood Dealer* Wholesale Diamond Broker</t>
  </si>
  <si>
    <t>Sales representatives, wholesale and manufacturing, technical and scientific products    * Chemical Sales Representative* Electroplating Sales Representative* Engineering Supplies Sales* Pharmaceutical Detailer* Pharmaceutical Sales Representative* Pharmaceutical Salesperson* Surgical Instruments Sales Representative* Wholesale Ultrasonic Equipment Salesperson</t>
  </si>
  <si>
    <t>Sawing machine setters, operators, and tenders, wood    * Backup Sawyer* Band Scroll Saw Operator* Bandmill Operator* Buzzsaw Operator* Chop Saw Operator* Circle Saw Operator* Curve Saw Operator* Cut Off Saw Operator* Hardwood Sawyer* Headrig Sawyer* Panel Saw Operator* Rip Saw Operator* Stave Saw Operator* Trim Saw Operator</t>
  </si>
  <si>
    <t>School bus monitors</t>
  </si>
  <si>
    <t>School psychologists</t>
  </si>
  <si>
    <t>Secondary school teachers, except special and career/technical education    * High School Biology Teacher* High School English Teacher* High School French Teacher* High School History Teacher* High School Math Teacher* High School Music Director* High School Teacher</t>
  </si>
  <si>
    <t>Secretaries and administrative assistants, except legal, medical, and executive    * Alumni Secretary* Department Secretary* Office Secretary* Personal Secretary* Real Estate Administrative Assistant* School Attendance Secretary* School Secretary</t>
  </si>
  <si>
    <t>Securities, commodities, and financial services sales agents    * Commodities Broker* Commodity Trader* Equity Trader* Investment Banker* Municipal Bond Trader* Mutual Fund Sales Agent* Securities Trader* Stock Broker* Stock Trader</t>
  </si>
  <si>
    <t>Security and fire alarm systems installers    * Alarm Adjuster* Alarm Technician* Burglar Alarm Installer* Fire Alarm Installer* Fire Alarm Technician* Home Security Alarm Installer</t>
  </si>
  <si>
    <t>Security guards    * Armed Guard* Bank Guard* Bodyguard* Bouncer* Private Watchman* Security Officer</t>
  </si>
  <si>
    <t>Self-enrichment teachers    * Ballet Teacher* CPR Instructor* Ceramics Instructor* Citizenship Teacher* Dance Teacher* Defensive Driving Instructor* Driver Education Instructor* Driving Instructor* First Aid Instructor* Horseback Riding Instructor* Judo Instructor* Karate Instructor* Knitting Teacher* Martial Arts Instructor* Sailing Instructor* Skiing Instructor* Snowboard Instructor* Theater Education Teacher</t>
  </si>
  <si>
    <t>Semiconductor processing technicians    * Electronic Semiconductor Processor* Semiconductor Assembler* Wafer Fabricator</t>
  </si>
  <si>
    <t>Separating, filtering, clarifying, precipitating, and still machine setters, operators, and tenders    * Brewmaster* Fermentation Operator* Fermenter* Linseed Oil Temperer* Milk Pasteurizer* Milk Processor* Molasses Preparer* Pasteurizer* Winemaker</t>
  </si>
  <si>
    <t>Septic tank servicers and sewer pipe cleaners    * Electric Sewer Cleaning Machine Operator* Septic Pump Truck Driver* Septic Tank Cleaner* Sewage Screen Operator* Sewer Cleaner* Sewer Pipe Cleaner* Sewer and Drain Technician</t>
  </si>
  <si>
    <t>Service unit operators, oil and gas    * Oil Well Fishing-Tool Technician* Well Service Pump Equipment Operator* Well Service Rig Operator* Well Services Operator* Well Servicing Rig Operator</t>
  </si>
  <si>
    <t>Set and exhibit designers    * Scenic Designer* Set Decorator* Set Designer* Stage Scenery Designer* Theater Set Production Designer</t>
  </si>
  <si>
    <t>Sewers, hand    * Hand Quilter* Hand Sewer* Hand Stitcher* Hand Weaver</t>
  </si>
  <si>
    <t>Sewing machine operators    * Blind Stitch Machine Operator* Button Sewing Machine Operator* Carpet Sewing Machine Operator* Custom T-Shirt Embroidery Machine Operator* Embroidery Machine Operator* Hemming and Tacking Machine Operator* Ultrasonic Seaming Machine Operator</t>
  </si>
  <si>
    <t>Shampooers    * Scalp Treatment Specialist* Shampoo Assistant* Shampoo Technician* Shampooer</t>
  </si>
  <si>
    <t>Sheet metal workers    * Air Conditioning Sheet Metal Installer* Heating, Ventilation, and Air Conditioning  (HVAC) Sheet Metal Installer* Sheet Metal Duct Installer* Sheet Metal Fabricator* Sheet Metal Former* Sheet Metal Installer* Sheet Metal Layout Mechanic* Sheet Metal Layout Worker* Sheet Metal Worker* Tinsmith</t>
  </si>
  <si>
    <t>Ship engineers    * Barge Engineer* Ferry Engineer* Towboat Engineer* Tug Boat Engineer* Tugboat Engineer</t>
  </si>
  <si>
    <t>Shipping, receiving, and inventory clerks    * Freight Clerk* Incoming Freight Clerk* Receiving Clerk* Reconsignment Clerk* Route Delivery Clerk* Shipping Order Clerk* Shipping and Receiving Clerk* Store Receiving Clerk</t>
  </si>
  <si>
    <t>Shoe and leather workers and repairers    * Cobbler* Leather Lacer* Leather Worker* Luggage Repairer* Saddle Maker* Saddle and Harness Maker* Shoe Maker* Shoemaker</t>
  </si>
  <si>
    <t>Shoe machine operators and tenders    * Arch Cushion Press Operator* Insole Beveler* Lacing Operator* Lasting Machine Operator* Pump Stitcher* Rasper Machine Operator* Shoe Cementer* Shoe Sewing Machine Operator and Tender* Sole Trimmer</t>
  </si>
  <si>
    <t>Shuttle drivers and chauffeurs</t>
  </si>
  <si>
    <t>Signal and track switch repairers    * Electric Track Switch Maintainer* Light Rail Signal Technician* Rail Signal Mechanic* Railway Signal Technician* Third Rail Installer* Train Control Electronic Technician* Train Control Technician</t>
  </si>
  <si>
    <t>Skincare specialists    * Electrolysis Needle Operator* Electrolysis Operator* Electrolysist* Esthetician* Facialist* Licensed Esthetician* Medical Esthetician* Skin Care Technician</t>
  </si>
  <si>
    <t>Slaughterers and meat packers    * Beef Splitter* Cattle Killer* Halal Meat Packer* Hog Slaughterer* Meat Packer* Meat Processor* Poultry Slaughterer* Shochet* Slaughterer</t>
  </si>
  <si>
    <t>Social and community service managers    * Child Welfare Director* Community Service Director* Community Service Organization Director* Family Service Center Director* Neighborhood Service Center Director* Social Service Director* Social Services Director* Youth Program Director</t>
  </si>
  <si>
    <t>Social and human service assistants    * Addictions Counselor Assistant* Case Work Aide* Clinical Social Work Aide* Family Service Assistant* Human Services Worker* Social Work Assistant</t>
  </si>
  <si>
    <t>Social science research assistants    * City Planning Aide* Economic Research Assistant* Economist Research Assistant* Historian Research Assistant* Political Science Research Assistant* Psychologist Research Assistant* Sociology Research Assistant</t>
  </si>
  <si>
    <t>Social sciences teachers, postsecondary, all other    * Social Science Professor* Survey Research Professor* Urban Planning Professor</t>
  </si>
  <si>
    <t>Social scientists and related workers, all other    * Behavioral Scientist* Demographer* Ethnologist* Etymologist* Linguist* Philologist* Social Scientist</t>
  </si>
  <si>
    <t>Social work teachers, postsecondary    * Family Welfare Social Work Professor* Geriatric Social Work Professor* Health Social Work Professor* Social Work Professor</t>
  </si>
  <si>
    <t>Social workers, all other    * Criminal Justice Social Worker* Forensic Social Worker* Sexual Assault Social Worker</t>
  </si>
  <si>
    <t>Sociologists    * Criminologist* Family Sociologist* Penologist* Rural Sociologist* Sociologist* Urban Sociologist</t>
  </si>
  <si>
    <t>Sociology teachers, postsecondary    * Comparative Sociology Professor* Race Relations Professor* Social Organization Professor</t>
  </si>
  <si>
    <t>Software developers</t>
  </si>
  <si>
    <t>Software quality assurance analysts and testers</t>
  </si>
  <si>
    <t>Soil and plant scientists    * Agriculturist* Agronomist* Arboreal Scientist* Crop Nutrition Scientist* Floriculturist* Horticulturist* Plant Physiologist* Plant Scientist* Pomologist* Soil Fertility Extension Specialist* Soil Scientist* Viticulturist</t>
  </si>
  <si>
    <t>Solar photovoltaic installers    * PV Installer* PV Panel Installer* Photovoltaic (PV) Installation Technician* Solar PV Installer</t>
  </si>
  <si>
    <t>Sound engineering technicians    * Audio Recording Engineer* Disc Recordist* Dub Room Engineer* Film Sound Engineer* Play Back Operator* Public Address Technician* Recording Engineer* Sound Assistant* Sound Cutter* Sound Designer* Sound Editor* Sound Effects Technician* Sound Engineering Technician</t>
  </si>
  <si>
    <t>Special education teachers, all other    * Autism Tutor* Special Education Teacher for Adults with Disabilities</t>
  </si>
  <si>
    <t>Special education teachers, kindergarten and elementary school    * SED Elementary School Teacher* Severe Emotional Disorders Elementary School Teacher* Special Education Kindergarten Teacher</t>
  </si>
  <si>
    <t>Special education teachers, middle school</t>
  </si>
  <si>
    <t>Special education teachers, preschool    * Early Childhood Special Education Teacher* Early Childhood Special Educator* Pre-K Special Education Teacher* Pre-Kindergarten Special Education Teacher* Special Education Preschool Teacher</t>
  </si>
  <si>
    <t>Special education teachers, secondary school</t>
  </si>
  <si>
    <t>Special effects artists and animators    * 3D Animator* Animator* Multimedia Artist* Special Effects Artist</t>
  </si>
  <si>
    <t>Speech-language pathologists    * Language Pathologist* Public School Speech Clinician* Public School Speech Therapist* Speech Clinician* Speech Pathologist* Speech Therapist* Speech and Language Specialist</t>
  </si>
  <si>
    <t>Stationary engineers and boiler operators    * Boiler Engineer* Boiler Operator¿¿¿* Boiler Plant Operator* Boiler Room Operator* Heating, Ventilation, and Air Conditioning (HVAC) Mechanic Boiler Operator* High Pressure Boiler Operator</t>
  </si>
  <si>
    <t>Statistical assistants    * Actuarial Assistant* Actuary Clerk* Data Analysis Assistant* Statistical Clerk* Tariff Compiling Clerk</t>
  </si>
  <si>
    <t>Statisticians    * Analytical Statistician* Applied Statistician* Biometrician* Biostatistician* Environmental Statistician* Mathematical Statistician* Research Biostatistician* Sampling Expert* Statistical Analyst* Statistical Reporting Analyst* Statistician* Survey Statistician* Time Study Statistician</t>
  </si>
  <si>
    <t>Stockers and order fillers</t>
  </si>
  <si>
    <t>Stonemasons    * Banker Mason* Curbstone Setter* Granite Setter* Memorial Mason* Monument Mason* Rock Mason* Stone Chimney Mason* Stone Layer* Stonemason</t>
  </si>
  <si>
    <t>Structural iron and steel workers    * Bridge Ironworker* Construction Ironworker* Iron Guardrail Installer* Metal Tank Erector* Ornamental Ironworker* Pre-Engineered Metal Building Ironworker* Precast Concrete Ironworker* Steel Fabricator* Steel Fitter* Structural Steel Erector* Wind Turbine Erector</t>
  </si>
  <si>
    <t>Structural metal fabricators and fitters    * Mill Beam Fitter* Protector Plate Attacher</t>
  </si>
  <si>
    <t>Substance abuse, behavioral disorder, and mental health counselors</t>
  </si>
  <si>
    <t>Substitute teachers, short-term</t>
  </si>
  <si>
    <t>Subway and streetcar operators    * Light Rail Operator* Light Rail Transit Operator* Light Rail Vehicle Operator* Rapid Transit Operator* Subway Conductor* Subway Train Operator* Tram Operator* Trolley Car Operator</t>
  </si>
  <si>
    <t>Surgeons, all other</t>
  </si>
  <si>
    <t>Surgical assistants</t>
  </si>
  <si>
    <t>Surgical technologists    * Certified Surgical Technologist* OR Tech* Operating Room Technician* Surgical First Assistant* Surgical Scrub Technologist* Surgical Technologist</t>
  </si>
  <si>
    <t>Survey researchers    * Pollster* Survey Methodologist* Survey Questionnaire Designer* Survey Researcher</t>
  </si>
  <si>
    <t>Surveying and mapping technicians    * Cartographic Aide* Cartographic Technician* Field Map Technician* GIS Mapping Technician* Geophysical Prospecting Surveying Technician* Mapping Technician* Mineral Surveying Technician* Surveying Technician* Topography Technician</t>
  </si>
  <si>
    <t>Surveyors    * City Surveyor* County Surveyor* Geodetic Surveyor* Geophysical Prospecting Surveyor* Land Surveyor* Mine Surveyor* Mineral Surveyor* Registered Land Surveyor* Topographical Surveyor</t>
  </si>
  <si>
    <t>Switchboard operators, including answering service    * PBX Operator* Private Branch Exchange Operator* Telephone Answering Service Operator* Telephone Switchboard Operator</t>
  </si>
  <si>
    <t>Tailors, dressmakers, and custom sewers    * Alterations Sewer* Alterations Tailor* Bridal Gown Fitter* Coat Cutter* Coat Maker* Couture Dressmaker* Dress Fitter* Fur Tailor* Garment Fitter* Suit Maker* Vest Maker</t>
  </si>
  <si>
    <t>Tank car, truck, and ship loaders    * Barge Loader* Bulk Tank Car Unloader* Dock Loader* Rail Car Loader* Rail Loader* Ship Unloader* Tank Car Loader* Tank Truck Loader</t>
  </si>
  <si>
    <t>Tapers    * Drywall Taper* Sheet Rock Taper* Wall Taper</t>
  </si>
  <si>
    <t>Tax examiners and collectors, and revenue agents    * City Collector* Customs Appraiser* Income Tax Adjuster* Internal Revenue Agent* Internal Revenue Service Agent* Revenue Collector* Revenue Enforcement Agent* Tax Compliance Officer* Tax Compliance Representative* Tax Examiner* Tax Investigator* Tax Revenue Officer</t>
  </si>
  <si>
    <t>Tax preparers    * Corporate Tax Preparer* Income Tax Advisor* Income Tax Preparer* Licensed Tax Consultant* Tax Consultant* Tax Specialist</t>
  </si>
  <si>
    <t>Taxi drivers</t>
  </si>
  <si>
    <t>Teachers and instructors, all other    * Substitute Teacher* Tutor</t>
  </si>
  <si>
    <t>Teaching assistants, except postsecondary</t>
  </si>
  <si>
    <t>Teaching assistants, postsecondary</t>
  </si>
  <si>
    <t>Technical writers    * Assembly Instructions Writer* Documentation Writer* Engineering Writer* Handbook Writer* Medical Writer* Specifications Writer* Technical Communicator* Technical Writer</t>
  </si>
  <si>
    <t>Telecommunications equipment installers and repairers, except line installers    * Communications Equipment Installer* Fiber Optic Central Office Installer* Headend Technician* Private Branch Exchange (PBX ) Installer and Repairer* Switchboard Wirer* Telecommunications Switch Technician</t>
  </si>
  <si>
    <t>Telecommunications line installers and repairers    * Cable Television Installer* FIOS Line Installer* Fiber Optic Technician* Telecommunication Lines Repairer* Telecommunications Line Installer* Telephone Cable Splicer* Telephone Lines Repairer* Telephone Lineworker</t>
  </si>
  <si>
    <t>Telemarketers    * Inbound Telemarketer* Outbound Telemarketer* Telemarketer* Telemarketing Sales Representative* Telephone Solicitor* Telesales Representative* Telesales Specialist</t>
  </si>
  <si>
    <t>Telephone operators    * 411 Directory Assistance Operator* Directory Assistance Operator* Information Operator* Local Telephone Operator* Long Distance Operator* Telephone Exchange Operator</t>
  </si>
  <si>
    <t>Tellers    * Bank Teller* Commercial Teller* Exchange Teller* Foreign Banknote Teller* Foreign Exchange Clerk* Loan Teller* Money Order Clerk* Receiving Teller* Savings Teller* Securities Teller</t>
  </si>
  <si>
    <t>Terrazzo workers and finishers    * Granite-Chip Terrazzo  Finisher* Marble-Chip Terrazzo Worker* Onyx-Chip Terrazzo Worker* Rustic Terrazzo Setter* Terrazzo Finisher* Terrazzo Grinder* Terrazzo Installer* Terrazzo Layer* Terrazzo Setter* Terrazzo Worker</t>
  </si>
  <si>
    <t>Textile bleaching and dyeing machine operators and tenders    * Cloth Dyer* Dye Range Operator* Rug Dyer* Skein Yarn Dyer* Yarn Dyer</t>
  </si>
  <si>
    <t>Textile cutting machine setters, operators, and tenders    * Bedspread Cutter* Canvas Cutter* Cloth Cutter* Industrial Fabric Cutter* Textile Slitting Machine Operator* Twill Cutter* Upholstery Cutter* Welt Trimming Machine Operator</t>
  </si>
  <si>
    <t>Textile knitting and weaving machine setters, operators, and tenders    * Crochet Machine Operator* Jacquard Loom Weaver* Knitter Operator* Knitting Machine Operator* Loom Operator* Looping Machine Operator* Warp Knitting Machine Operator</t>
  </si>
  <si>
    <t>Textile winding, twisting, and drawing out machine setters, operators, and tenders    * Rope Machine Setter* Roving Winder* Silk Winding Machine Operator* Twister Operator* Winder Operator</t>
  </si>
  <si>
    <t>Textile, apparel, and furnishings workers, all other    * Apparel Embroidery Digitizer* Feltmaker* Hat Blocking Machine Operator* Swatch Maker* Tassel Making Machine Operator</t>
  </si>
  <si>
    <t>Therapists, all other    * Art Therapist* Auriculotherapist* Educational Therapist* Hydrotherapist* Music Therapist* Peripatologist</t>
  </si>
  <si>
    <t>Tile and stone setters    * Ceramic Tile Installer* Hard Tile Setter* Marble Ceiling Installer* Parquet Floor Layer* Tile Installer* Tile Mason* Wood Tile Installer</t>
  </si>
  <si>
    <t>Timing device assemblers and adjusters</t>
  </si>
  <si>
    <t>Tire builders    * Auto Tire Recapper* Retreader* Tire Finisher* Tire Molder* Tire Retreader</t>
  </si>
  <si>
    <t>Tire repairers and changers    * Auto Tire Worker* Tire Balancer* Tire Fixer* Tire Mechanic* Tire Mounter* Tire Servicer* Tire Technician</t>
  </si>
  <si>
    <t>Title examiners, abstractors, and searchers    * Abstract Searcher* Abstract Writer* Advisory Title Officer* Escrow Officer* Land Title Examiner* Lease Examiner* Lien Searcher* Title Agent* Title Checker* Title Examiner* Title Inspector* Title Investigator* Title Officer* Title Searcher</t>
  </si>
  <si>
    <t>Tool and die makers    * Jig Bore Tool Maker* Metal Die Finisher* Metal Gauge Maker* Plastic Die Maker Apprentice* Tool Maker* Toolmaker</t>
  </si>
  <si>
    <t>Tool grinders, filers, and sharpeners    * Tool Grinder* Tool Grinding Machine Operator* Tool Sharpener* Tool Straightener</t>
  </si>
  <si>
    <t>Tour and travel guides</t>
  </si>
  <si>
    <t>Traffic technicians    * Highway Traffic Control Technician* Traffic Engineering Technician* Traffic Signal Technician* Transportation Planning Technician* Transportation Technician</t>
  </si>
  <si>
    <t>Training and development managers    * E-Learning Manager* Employee Development Director* Employee Development Manager* Labor Training Manager</t>
  </si>
  <si>
    <t>Training and development specialists    * Computer Training Specialist* Corporate Trainer* Employee Development Specialist* Job Training Specialist* Training Coordinator* Training Specialist* Workforce Development Specialist</t>
  </si>
  <si>
    <t>Transit and railroad police    * Railroad Detective* Railroad Police Officer* Track Patrol* Transit Authority Police* Transit Police Officer</t>
  </si>
  <si>
    <t>Transportation inspectors    * Aircraft Inspector* Aircraft Landing Gear Inspector* Aircraft Quality Control Inspector* Airworthiness Safety Inspector* Freight Inspector* Locomotive Inspector* Motor Vehicle Emissions Inspector* Railroad Car Inspector* Railroad Inspector* School Bus Inspector* Transit Vehicle Inspector</t>
  </si>
  <si>
    <t>Transportation security screeners    * Airport Baggage Screener* Airport Security Screener* Flight Security Specialist* Transportation Security Administration (TSA) Screener* Transportation Security Officer</t>
  </si>
  <si>
    <t>Transportation workers, all other    * Airplane Refueler* Pedicab Driver* Rickshaw Driver</t>
  </si>
  <si>
    <t>Transportation, storage, and distribution managers    * Airport Manager* Cold Storage Supervisor* Distribution Center Manager* Logistics Manager* Logistics Supply Officer* Marine Oil Terminal Superintendent* Traffic Safety Administrator* Transportation Manager* Warehouse Manager* Warehouse Operations Manager</t>
  </si>
  <si>
    <t>Travel agents    * Auto Travel Counselor* Certified Corporate Travel Executive* Certified Travel Counselor* Corporate Travel Expert* Travel Agent* Travel Consultant* Travel Counselor* Travel Service Consultant</t>
  </si>
  <si>
    <t>Tree trimmers and pruners    * Pruner* Tree Pruner* Tree Specialist* Tree Surgeon* Tree Trimmer</t>
  </si>
  <si>
    <t>Tutors</t>
  </si>
  <si>
    <t>Umpires, referees, and other sports officials    * Athletic Events Scorer* Baseball Umpire* Diving Judge* Dressage Judge* Equestrian Events Judge* Handicapper* Horse Show Judge* Paddock Judge* Pit Steward* Placing Judge* Race Starter</t>
  </si>
  <si>
    <t>Underground mining machine operators, all other    * Dry Placer Machine Operator* Rock Dust Sprayer* Rock Duster</t>
  </si>
  <si>
    <t>Upholsterers    * Aircraft Seat Upholsterer* Auto Upholsterer* Chair Upholsterer* Dining Chair Seat Cushion Trimmer* Furniture Upholsterer* Seating Upholsterer</t>
  </si>
  <si>
    <t>Urban and regional planners    * City Planner* Community Development Planner* Regional Planner* Urban Planner</t>
  </si>
  <si>
    <t>Ushers, lobby attendants, and ticket takers    * Drive-In Theater Attendant* Lobby Attendant* Theater Usher* Ticket Attendant* Ticket Collector* Usher</t>
  </si>
  <si>
    <t>Veterinarians    * Animal Pathologist* Animal Surgeon* Doctor of Veterinary Medicine* Doctor of Veterinary Medicine (DVM)* Equine Veterinarian* Large Animal Veterinarian* Poultry Pathologist* Public Health Veterinarian* Small Animal Veterinarian* Veterinary Medicine Scientist* Wildlife Veterinarian</t>
  </si>
  <si>
    <t>Veterinary assistants and laboratory animal caretakers    * Laboratory Animal Caretaker* Veterinarian Assistant* Veterinarian Helper* Veterinary Attendant</t>
  </si>
  <si>
    <t>Veterinary technologists and technicians    * Certified Veterinary Technician* LVT* Licensed Veterinary Technician* Registered Veterinary Technician* Veterinary Lab Tech* Veterinary Laboratory Technician* Veterinary Surgery Technician* Veterinary Surgery Technologist* Veterinary Technologist* Veterinary X-Ray Operator</t>
  </si>
  <si>
    <t>Waiters and waitresses    * Cocktail Server* Cocktail Waitress* Dining Car Server* Restaurant Server* Wine Steward</t>
  </si>
  <si>
    <t>Watch and clock repairers    * Antique Clock Repairer* Chronometer Repairer* Clock Repair Technician* Clockmaker* Clocksmith* Horologist* Time Piece Repairer* Watchmaker</t>
  </si>
  <si>
    <t>Water and wastewater treatment plant and system operators    * Industrial Waste Treatment Technician* Lead Sewage Plant Operator* Liquid Waste Treatment Plant Operator* Sewage Plant Operator* Waste Treatment Operator* Wastewater Operator* Water Plant Operator* Water Treatment Technician</t>
  </si>
  <si>
    <t>Web and digital interface designers</t>
  </si>
  <si>
    <t>Web developers</t>
  </si>
  <si>
    <t>Weighers, measurers, checkers, and samplers, recordkeeping    * Bean Weigher* Cheese Weigher* Freight Checker* Sample Checker* Scale Attendant* Scale Clerk* Scale Operator* Warehouse Checker* Weighing Station Operator* Wool Sampler</t>
  </si>
  <si>
    <t>Welders, cutters, solderers, and brazers    * Aluminum Welder* Arc Welder* Brazer* Certified Maintenance Welder* Cutting Torch Operator* Pipe Welder* Silver Solderer* Sub Arc Operator* Welder Fitter* Wire Welder</t>
  </si>
  <si>
    <t>Welding, soldering, and brazing machine setters, operators, and tenders    * Brazing Machine Operator* Brazing Machine Setter and Setup Operator* Brazing Machine Tender* Electron Beam Welder Setter* Machine Welder* Reserve Tube Welder* Soldering Machine Operator* Soldering Machine Setter and Setup Operator* Soldering Machine Tender* Ultrasonic Welding Machine Operator* Welding Machine Operator</t>
  </si>
  <si>
    <t>Wellhead pumpers    * Oil Field Pumper* Oil Well Pumper* Oilfield Plant and Field Operator* Wellhead Pumper</t>
  </si>
  <si>
    <t>Wind turbine service technicians    * Wind Energy Mechanic* Wind Energy Technician* Wind Turbine Mechanic* Wind Turbine Technician</t>
  </si>
  <si>
    <t>Woodworkers, all other    * Pole Framer* Timber Framer* Wood Carver* Wood Casket Assembler* Wood Veneer Taper</t>
  </si>
  <si>
    <t>Woodworking machine setters, operators, and tenders, except sawing    * CNC Wood Lathe Operator* Roof Truss Builder* Speed Belt Sander* Tenon Operator* Wood Boring Machine Operator* Wood Dowel Machine Operator* Wood Lathe Operator* Wood Planer</t>
  </si>
  <si>
    <t>Word processors and typists    * Clerk Typist* Dictaphone Typist* Legal Transcriptionist* Statistical Typist* Transcription Typist* Typist* Word Processor</t>
  </si>
  <si>
    <t>Writers and authors    * Advertising Copy Writer* Advertising Copywriter* Author* Biographer* Copy Writer* Copywriter* Lyricist* Novelist* Playwright* Poet* Program Writer* Radio Script Writer* Screen Writer* Short Story Writer* Song Lyricist* Television Writer* Verse Writer</t>
  </si>
  <si>
    <t>Zoologists and wildlife biologists    * Aquatic Biologist* Entomologist* Fish Culturist* Fishery Biologist* Herpetologist* Ichthyologist* Lepidopterist* Marine Biologist* Migratory Game Bird Biologist* Ornithologist* Protozoologist* Wildlife Biologist</t>
  </si>
</sst>
</file>

<file path=xl/styles.xml><?xml version="1.0" encoding="utf-8"?>
<styleSheet xmlns="http://schemas.openxmlformats.org/spreadsheetml/2006/main">
  <numFmts count="6">
    <numFmt numFmtId="176" formatCode="0_);[Red]\(0\)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7" formatCode="0.00_);[Red]\(0.00\)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33"/>
  <sheetViews>
    <sheetView tabSelected="1" topLeftCell="E1" workbookViewId="0">
      <selection activeCell="K2" sqref="K2"/>
    </sheetView>
  </sheetViews>
  <sheetFormatPr defaultColWidth="8.4375" defaultRowHeight="14"/>
  <cols>
    <col min="1" max="1" width="20.4453125" customWidth="1"/>
    <col min="2" max="2" width="15.9375" style="1" customWidth="1"/>
    <col min="3" max="4" width="16.5" style="1" customWidth="1"/>
    <col min="5" max="5" width="29.5625" style="1" customWidth="1"/>
    <col min="6" max="6" width="36.8125" style="1" customWidth="1"/>
    <col min="7" max="7" width="36.0625" style="1" customWidth="1"/>
    <col min="8" max="8" width="17.9609375" style="2" customWidth="1"/>
    <col min="10" max="10" width="8.4375" style="2"/>
    <col min="11" max="11" width="14.453125" customWidth="1"/>
    <col min="12" max="12" width="8.4375" style="2"/>
    <col min="13" max="13" width="18.75" customWidth="1"/>
    <col min="14" max="14" width="8.4375" style="2"/>
  </cols>
  <sheetData>
    <row r="1" spans="1:1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t="s">
        <v>8</v>
      </c>
      <c r="J1" s="2" t="s">
        <v>9</v>
      </c>
      <c r="K1" t="s">
        <v>10</v>
      </c>
      <c r="L1" s="2" t="s">
        <v>11</v>
      </c>
      <c r="M1" t="s">
        <v>12</v>
      </c>
      <c r="N1" s="2" t="s">
        <v>13</v>
      </c>
    </row>
    <row r="2" spans="1:14">
      <c r="A2" t="s">
        <v>14</v>
      </c>
      <c r="B2" s="1" t="str">
        <f>"13-2011"</f>
        <v>13-2011</v>
      </c>
      <c r="C2" s="1">
        <v>1449.8</v>
      </c>
      <c r="D2" s="1">
        <v>1531.6</v>
      </c>
      <c r="E2" s="1">
        <v>81.8</v>
      </c>
      <c r="F2" s="1">
        <v>5.6</v>
      </c>
      <c r="G2" s="1">
        <v>136.4</v>
      </c>
      <c r="H2" s="2">
        <v>77250</v>
      </c>
      <c r="I2" t="s">
        <v>15</v>
      </c>
      <c r="J2" s="2">
        <v>3</v>
      </c>
      <c r="K2" t="s">
        <v>16</v>
      </c>
      <c r="L2" s="2">
        <v>4</v>
      </c>
      <c r="M2" t="s">
        <v>16</v>
      </c>
      <c r="N2" s="2">
        <v>6</v>
      </c>
    </row>
    <row r="3" spans="1:14">
      <c r="A3" t="s">
        <v>17</v>
      </c>
      <c r="B3" s="1" t="str">
        <f>"27-2011"</f>
        <v>27-2011</v>
      </c>
      <c r="C3" s="1">
        <v>50.6</v>
      </c>
      <c r="D3" s="1">
        <v>54.7</v>
      </c>
      <c r="E3" s="1">
        <v>4.1</v>
      </c>
      <c r="F3" s="1">
        <v>8.2</v>
      </c>
      <c r="G3" s="1">
        <v>7</v>
      </c>
      <c r="H3" s="2" t="s">
        <v>18</v>
      </c>
      <c r="I3" t="s">
        <v>19</v>
      </c>
      <c r="J3" s="2">
        <v>6</v>
      </c>
      <c r="K3" t="s">
        <v>16</v>
      </c>
      <c r="L3" s="2">
        <v>4</v>
      </c>
      <c r="M3" t="s">
        <v>20</v>
      </c>
      <c r="N3" s="2">
        <v>3</v>
      </c>
    </row>
    <row r="4" spans="1:14">
      <c r="A4" t="s">
        <v>21</v>
      </c>
      <c r="B4" s="1" t="str">
        <f>"15-2011"</f>
        <v>15-2011</v>
      </c>
      <c r="C4" s="1">
        <v>28.3</v>
      </c>
      <c r="D4" s="1">
        <v>34.2</v>
      </c>
      <c r="E4" s="1">
        <v>5.9</v>
      </c>
      <c r="F4" s="1">
        <v>20.8</v>
      </c>
      <c r="G4" s="1">
        <v>2.4</v>
      </c>
      <c r="H4" s="2">
        <v>105900</v>
      </c>
      <c r="I4" t="s">
        <v>15</v>
      </c>
      <c r="J4" s="2">
        <v>3</v>
      </c>
      <c r="K4" t="s">
        <v>16</v>
      </c>
      <c r="L4" s="2">
        <v>4</v>
      </c>
      <c r="M4" t="s">
        <v>20</v>
      </c>
      <c r="N4" s="2">
        <v>3</v>
      </c>
    </row>
    <row r="5" spans="1:14">
      <c r="A5" t="s">
        <v>22</v>
      </c>
      <c r="B5" s="1" t="str">
        <f>"29-1291"</f>
        <v>29-1291</v>
      </c>
      <c r="C5" s="1">
        <v>23.7</v>
      </c>
      <c r="D5" s="1">
        <v>24.6</v>
      </c>
      <c r="E5" s="1">
        <v>0.9</v>
      </c>
      <c r="F5" s="1">
        <v>3.9</v>
      </c>
      <c r="G5" s="1">
        <v>1.7</v>
      </c>
      <c r="H5" s="2">
        <v>60570</v>
      </c>
      <c r="I5" t="s">
        <v>23</v>
      </c>
      <c r="J5" s="2">
        <v>2</v>
      </c>
      <c r="K5" t="s">
        <v>16</v>
      </c>
      <c r="L5" s="2">
        <v>4</v>
      </c>
      <c r="M5" t="s">
        <v>16</v>
      </c>
      <c r="N5" s="2">
        <v>6</v>
      </c>
    </row>
    <row r="6" spans="1:14">
      <c r="A6" t="s">
        <v>24</v>
      </c>
      <c r="B6" s="1" t="str">
        <f>"51-9191"</f>
        <v>51-9191</v>
      </c>
      <c r="C6" s="1">
        <v>12.7</v>
      </c>
      <c r="D6" s="1">
        <v>12.9</v>
      </c>
      <c r="E6" s="1">
        <v>0.2</v>
      </c>
      <c r="F6" s="1">
        <v>1.5</v>
      </c>
      <c r="G6" s="1">
        <v>1.6</v>
      </c>
      <c r="H6" s="2">
        <v>37630</v>
      </c>
      <c r="I6" t="s">
        <v>25</v>
      </c>
      <c r="J6" s="2">
        <v>7</v>
      </c>
      <c r="K6" t="s">
        <v>16</v>
      </c>
      <c r="L6" s="2">
        <v>4</v>
      </c>
      <c r="M6" t="s">
        <v>26</v>
      </c>
      <c r="N6" s="2">
        <v>4</v>
      </c>
    </row>
    <row r="7" spans="1:14">
      <c r="A7" t="s">
        <v>27</v>
      </c>
      <c r="B7" s="1" t="str">
        <f>"23-1021"</f>
        <v>23-1021</v>
      </c>
      <c r="C7" s="1">
        <v>14.5</v>
      </c>
      <c r="D7" s="1">
        <v>14.1</v>
      </c>
      <c r="E7" s="1">
        <v>-0.4</v>
      </c>
      <c r="F7" s="1">
        <v>-2.8</v>
      </c>
      <c r="G7" s="1">
        <v>0.6</v>
      </c>
      <c r="H7" s="2">
        <v>102550</v>
      </c>
      <c r="I7" t="s">
        <v>28</v>
      </c>
      <c r="J7" s="2">
        <v>1</v>
      </c>
      <c r="K7" t="s">
        <v>29</v>
      </c>
      <c r="L7" s="2">
        <v>1</v>
      </c>
      <c r="M7" t="s">
        <v>30</v>
      </c>
      <c r="N7" s="2">
        <v>5</v>
      </c>
    </row>
    <row r="8" spans="1:14">
      <c r="A8" t="s">
        <v>31</v>
      </c>
      <c r="B8" s="1" t="str">
        <f>"11-3012"</f>
        <v>11-3012</v>
      </c>
      <c r="C8" s="1">
        <v>239</v>
      </c>
      <c r="D8" s="1">
        <v>255.1</v>
      </c>
      <c r="E8" s="1">
        <v>16.1</v>
      </c>
      <c r="F8" s="1">
        <v>6.7</v>
      </c>
      <c r="G8" s="1">
        <v>22</v>
      </c>
      <c r="H8" s="2">
        <v>100170</v>
      </c>
      <c r="I8" t="s">
        <v>15</v>
      </c>
      <c r="J8" s="2">
        <v>3</v>
      </c>
      <c r="K8" t="s">
        <v>32</v>
      </c>
      <c r="L8" s="2">
        <v>2</v>
      </c>
      <c r="M8" t="s">
        <v>16</v>
      </c>
      <c r="N8" s="2">
        <v>6</v>
      </c>
    </row>
    <row r="9" spans="1:14">
      <c r="A9" t="s">
        <v>33</v>
      </c>
      <c r="B9" s="1" t="str">
        <f>"25-3011"</f>
        <v>25-3011</v>
      </c>
      <c r="C9" s="1">
        <v>44.9</v>
      </c>
      <c r="D9" s="1">
        <v>42.1</v>
      </c>
      <c r="E9" s="1">
        <v>-2.8</v>
      </c>
      <c r="F9" s="1">
        <v>-6.2</v>
      </c>
      <c r="G9" s="1">
        <v>4.7</v>
      </c>
      <c r="H9" s="2">
        <v>59720</v>
      </c>
      <c r="I9" t="s">
        <v>15</v>
      </c>
      <c r="J9" s="2">
        <v>3</v>
      </c>
      <c r="K9" t="s">
        <v>16</v>
      </c>
      <c r="L9" s="2">
        <v>4</v>
      </c>
      <c r="M9" t="s">
        <v>16</v>
      </c>
      <c r="N9" s="2">
        <v>6</v>
      </c>
    </row>
    <row r="10" spans="1:14">
      <c r="A10" t="s">
        <v>34</v>
      </c>
      <c r="B10" s="1" t="str">
        <f>"11-2011"</f>
        <v>11-2011</v>
      </c>
      <c r="C10" s="1">
        <v>28</v>
      </c>
      <c r="D10" s="1">
        <v>30</v>
      </c>
      <c r="E10" s="1">
        <v>2</v>
      </c>
      <c r="F10" s="1">
        <v>7.1</v>
      </c>
      <c r="G10" s="1">
        <v>3</v>
      </c>
      <c r="H10" s="2">
        <v>127150</v>
      </c>
      <c r="I10" t="s">
        <v>15</v>
      </c>
      <c r="J10" s="2">
        <v>3</v>
      </c>
      <c r="K10" t="s">
        <v>32</v>
      </c>
      <c r="L10" s="2">
        <v>2</v>
      </c>
      <c r="M10" t="s">
        <v>16</v>
      </c>
      <c r="N10" s="2">
        <v>6</v>
      </c>
    </row>
    <row r="11" spans="1:14">
      <c r="A11" t="s">
        <v>35</v>
      </c>
      <c r="B11" s="1" t="str">
        <f>"41-3011"</f>
        <v>41-3011</v>
      </c>
      <c r="C11" s="1">
        <v>100.7</v>
      </c>
      <c r="D11" s="1">
        <v>92.7</v>
      </c>
      <c r="E11" s="1">
        <v>-8</v>
      </c>
      <c r="F11" s="1">
        <v>-7.9</v>
      </c>
      <c r="G11" s="1">
        <v>10.9</v>
      </c>
      <c r="H11" s="2">
        <v>52340</v>
      </c>
      <c r="I11" t="s">
        <v>25</v>
      </c>
      <c r="J11" s="2">
        <v>7</v>
      </c>
      <c r="K11" t="s">
        <v>16</v>
      </c>
      <c r="L11" s="2">
        <v>4</v>
      </c>
      <c r="M11" t="s">
        <v>26</v>
      </c>
      <c r="N11" s="2">
        <v>4</v>
      </c>
    </row>
    <row r="12" spans="1:14">
      <c r="A12" t="s">
        <v>36</v>
      </c>
      <c r="B12" s="1" t="str">
        <f>"17-3021"</f>
        <v>17-3021</v>
      </c>
      <c r="C12" s="1">
        <v>11.3</v>
      </c>
      <c r="D12" s="1">
        <v>11.9</v>
      </c>
      <c r="E12" s="1">
        <v>0.7</v>
      </c>
      <c r="F12" s="1">
        <v>5.9</v>
      </c>
      <c r="G12" s="1">
        <v>1.2</v>
      </c>
      <c r="H12" s="2">
        <v>73580</v>
      </c>
      <c r="I12" t="s">
        <v>37</v>
      </c>
      <c r="J12" s="2">
        <v>4</v>
      </c>
      <c r="K12" t="s">
        <v>16</v>
      </c>
      <c r="L12" s="2">
        <v>4</v>
      </c>
      <c r="M12" t="s">
        <v>16</v>
      </c>
      <c r="N12" s="2">
        <v>6</v>
      </c>
    </row>
    <row r="13" spans="1:14">
      <c r="A13" t="s">
        <v>38</v>
      </c>
      <c r="B13" s="1" t="str">
        <f>"17-2011"</f>
        <v>17-2011</v>
      </c>
      <c r="C13" s="1">
        <v>58.8</v>
      </c>
      <c r="D13" s="1">
        <v>62.4</v>
      </c>
      <c r="E13" s="1">
        <v>3.7</v>
      </c>
      <c r="F13" s="1">
        <v>6.3</v>
      </c>
      <c r="G13" s="1">
        <v>3.8</v>
      </c>
      <c r="H13" s="2">
        <v>122270</v>
      </c>
      <c r="I13" t="s">
        <v>15</v>
      </c>
      <c r="J13" s="2">
        <v>3</v>
      </c>
      <c r="K13" t="s">
        <v>16</v>
      </c>
      <c r="L13" s="2">
        <v>4</v>
      </c>
      <c r="M13" t="s">
        <v>16</v>
      </c>
      <c r="N13" s="2">
        <v>6</v>
      </c>
    </row>
    <row r="14" spans="1:14">
      <c r="A14" t="s">
        <v>39</v>
      </c>
      <c r="B14" s="1" t="str">
        <f>"13-1011"</f>
        <v>13-1011</v>
      </c>
      <c r="C14" s="1">
        <v>22.6</v>
      </c>
      <c r="D14" s="1">
        <v>25.7</v>
      </c>
      <c r="E14" s="1">
        <v>3.1</v>
      </c>
      <c r="F14" s="1">
        <v>13.8</v>
      </c>
      <c r="G14" s="1">
        <v>2.8</v>
      </c>
      <c r="H14" s="2">
        <v>78410</v>
      </c>
      <c r="I14" t="s">
        <v>15</v>
      </c>
      <c r="J14" s="2">
        <v>3</v>
      </c>
      <c r="K14" t="s">
        <v>32</v>
      </c>
      <c r="L14" s="2">
        <v>2</v>
      </c>
      <c r="M14" t="s">
        <v>16</v>
      </c>
      <c r="N14" s="2">
        <v>6</v>
      </c>
    </row>
    <row r="15" spans="1:14">
      <c r="A15" t="s">
        <v>40</v>
      </c>
      <c r="B15" s="1" t="str">
        <f>"17-2021"</f>
        <v>17-2021</v>
      </c>
      <c r="C15" s="1">
        <v>1.2</v>
      </c>
      <c r="D15" s="1">
        <v>1.2</v>
      </c>
      <c r="E15" s="1">
        <v>0</v>
      </c>
      <c r="F15" s="1">
        <v>1.5</v>
      </c>
      <c r="G15" s="1">
        <v>0.1</v>
      </c>
      <c r="H15" s="2">
        <v>82640</v>
      </c>
      <c r="I15" t="s">
        <v>15</v>
      </c>
      <c r="J15" s="2">
        <v>3</v>
      </c>
      <c r="K15" t="s">
        <v>16</v>
      </c>
      <c r="L15" s="2">
        <v>4</v>
      </c>
      <c r="M15" t="s">
        <v>16</v>
      </c>
      <c r="N15" s="2">
        <v>6</v>
      </c>
    </row>
    <row r="16" spans="1:14">
      <c r="A16" t="s">
        <v>41</v>
      </c>
      <c r="B16" s="1" t="str">
        <f>"45-2091"</f>
        <v>45-2091</v>
      </c>
      <c r="C16" s="1">
        <v>66.6</v>
      </c>
      <c r="D16" s="1">
        <v>74.7</v>
      </c>
      <c r="E16" s="1">
        <v>8</v>
      </c>
      <c r="F16" s="1">
        <v>12.1</v>
      </c>
      <c r="G16" s="1">
        <v>12.1</v>
      </c>
      <c r="H16" s="2">
        <v>36360</v>
      </c>
      <c r="I16" t="s">
        <v>42</v>
      </c>
      <c r="J16" s="2">
        <v>8</v>
      </c>
      <c r="K16" t="s">
        <v>16</v>
      </c>
      <c r="L16" s="2">
        <v>4</v>
      </c>
      <c r="M16" t="s">
        <v>26</v>
      </c>
      <c r="N16" s="2">
        <v>4</v>
      </c>
    </row>
    <row r="17" spans="1:14">
      <c r="A17" t="s">
        <v>43</v>
      </c>
      <c r="B17" s="1" t="str">
        <f>"45-2011"</f>
        <v>45-2011</v>
      </c>
      <c r="C17" s="1">
        <v>14.1</v>
      </c>
      <c r="D17" s="1">
        <v>14.2</v>
      </c>
      <c r="E17" s="1">
        <v>0.1</v>
      </c>
      <c r="F17" s="1">
        <v>0.5</v>
      </c>
      <c r="G17" s="1">
        <v>2.5</v>
      </c>
      <c r="H17" s="2">
        <v>45140</v>
      </c>
      <c r="I17" t="s">
        <v>15</v>
      </c>
      <c r="J17" s="2">
        <v>3</v>
      </c>
      <c r="K17" t="s">
        <v>16</v>
      </c>
      <c r="L17" s="2">
        <v>4</v>
      </c>
      <c r="M17" t="s">
        <v>26</v>
      </c>
      <c r="N17" s="2">
        <v>4</v>
      </c>
    </row>
    <row r="18" spans="1:14">
      <c r="A18" t="s">
        <v>44</v>
      </c>
      <c r="B18" s="1" t="str">
        <f>"25-1041"</f>
        <v>25-1041</v>
      </c>
      <c r="C18" s="1">
        <v>10.9</v>
      </c>
      <c r="D18" s="1">
        <v>11.7</v>
      </c>
      <c r="E18" s="1">
        <v>0.8</v>
      </c>
      <c r="F18" s="1">
        <v>7.3</v>
      </c>
      <c r="G18" s="1">
        <v>1</v>
      </c>
      <c r="H18" s="2">
        <v>95910</v>
      </c>
      <c r="I18" t="s">
        <v>28</v>
      </c>
      <c r="J18" s="2">
        <v>1</v>
      </c>
      <c r="K18" t="s">
        <v>16</v>
      </c>
      <c r="L18" s="2">
        <v>4</v>
      </c>
      <c r="M18" t="s">
        <v>16</v>
      </c>
      <c r="N18" s="2">
        <v>6</v>
      </c>
    </row>
    <row r="19" spans="1:14">
      <c r="A19" t="s">
        <v>45</v>
      </c>
      <c r="B19" s="1" t="str">
        <f>"19-4012"</f>
        <v>19-4012</v>
      </c>
      <c r="C19" s="1">
        <v>16.4</v>
      </c>
      <c r="D19" s="1">
        <v>18</v>
      </c>
      <c r="E19" s="1">
        <v>1.6</v>
      </c>
      <c r="F19" s="1">
        <v>9.7</v>
      </c>
      <c r="G19" s="1">
        <v>2.6</v>
      </c>
      <c r="H19" s="2">
        <v>40430</v>
      </c>
      <c r="I19" t="s">
        <v>37</v>
      </c>
      <c r="J19" s="2">
        <v>4</v>
      </c>
      <c r="K19" t="s">
        <v>16</v>
      </c>
      <c r="L19" s="2">
        <v>4</v>
      </c>
      <c r="M19" t="s">
        <v>26</v>
      </c>
      <c r="N19" s="2">
        <v>4</v>
      </c>
    </row>
    <row r="20" spans="1:14">
      <c r="A20" t="s">
        <v>46</v>
      </c>
      <c r="B20" s="1" t="str">
        <f>"45-2099"</f>
        <v>45-2099</v>
      </c>
      <c r="C20" s="1">
        <v>11.6</v>
      </c>
      <c r="D20" s="1">
        <v>12.1</v>
      </c>
      <c r="E20" s="1">
        <v>0.6</v>
      </c>
      <c r="F20" s="1">
        <v>4.9</v>
      </c>
      <c r="G20" s="1">
        <v>2</v>
      </c>
      <c r="H20" s="2">
        <v>32550</v>
      </c>
      <c r="I20" t="s">
        <v>42</v>
      </c>
      <c r="J20" s="2">
        <v>8</v>
      </c>
      <c r="K20" t="s">
        <v>16</v>
      </c>
      <c r="L20" s="2">
        <v>4</v>
      </c>
      <c r="M20" t="s">
        <v>30</v>
      </c>
      <c r="N20" s="2">
        <v>5</v>
      </c>
    </row>
    <row r="21" spans="1:14">
      <c r="A21" t="s">
        <v>47</v>
      </c>
      <c r="B21" s="1" t="str">
        <f>"53-2021"</f>
        <v>53-2021</v>
      </c>
      <c r="C21" s="1">
        <v>22.9</v>
      </c>
      <c r="D21" s="1">
        <v>23</v>
      </c>
      <c r="E21" s="1">
        <v>0.1</v>
      </c>
      <c r="F21" s="1">
        <v>0.6</v>
      </c>
      <c r="G21" s="1">
        <v>2.4</v>
      </c>
      <c r="H21" s="2">
        <v>129750</v>
      </c>
      <c r="I21" t="s">
        <v>37</v>
      </c>
      <c r="J21" s="2">
        <v>4</v>
      </c>
      <c r="K21" t="s">
        <v>16</v>
      </c>
      <c r="L21" s="2">
        <v>4</v>
      </c>
      <c r="M21" t="s">
        <v>20</v>
      </c>
      <c r="N21" s="2">
        <v>3</v>
      </c>
    </row>
    <row r="22" spans="1:14">
      <c r="A22" t="s">
        <v>48</v>
      </c>
      <c r="B22" s="1" t="str">
        <f>"53-1041"</f>
        <v>53-1041</v>
      </c>
      <c r="C22" s="1">
        <v>8.9</v>
      </c>
      <c r="D22" s="1">
        <v>9.9</v>
      </c>
      <c r="E22" s="1">
        <v>0.9</v>
      </c>
      <c r="F22" s="1">
        <v>10.5</v>
      </c>
      <c r="G22" s="1">
        <v>1.2</v>
      </c>
      <c r="H22" s="2">
        <v>53540</v>
      </c>
      <c r="I22" t="s">
        <v>25</v>
      </c>
      <c r="J22" s="2">
        <v>7</v>
      </c>
      <c r="K22" t="s">
        <v>32</v>
      </c>
      <c r="L22" s="2">
        <v>2</v>
      </c>
      <c r="M22" t="s">
        <v>16</v>
      </c>
      <c r="N22" s="2">
        <v>6</v>
      </c>
    </row>
    <row r="23" spans="1:14">
      <c r="A23" t="s">
        <v>49</v>
      </c>
      <c r="B23" s="1" t="str">
        <f>"49-3011"</f>
        <v>49-3011</v>
      </c>
      <c r="C23" s="1">
        <v>131.7</v>
      </c>
      <c r="D23" s="1">
        <v>139.8</v>
      </c>
      <c r="E23" s="1">
        <v>8</v>
      </c>
      <c r="F23" s="1">
        <v>6.1</v>
      </c>
      <c r="G23" s="1">
        <v>11.5</v>
      </c>
      <c r="H23" s="2">
        <v>65380</v>
      </c>
      <c r="I23" t="s">
        <v>50</v>
      </c>
      <c r="J23" s="2">
        <v>5</v>
      </c>
      <c r="K23" t="s">
        <v>16</v>
      </c>
      <c r="L23" s="2">
        <v>4</v>
      </c>
      <c r="M23" t="s">
        <v>16</v>
      </c>
      <c r="N23" s="2">
        <v>6</v>
      </c>
    </row>
    <row r="24" spans="1:14">
      <c r="A24" t="s">
        <v>51</v>
      </c>
      <c r="B24" s="1" t="str">
        <f>"53-6032"</f>
        <v>53-6032</v>
      </c>
      <c r="C24" s="1">
        <v>12.3</v>
      </c>
      <c r="D24" s="1">
        <v>13.6</v>
      </c>
      <c r="E24" s="1">
        <v>1.3</v>
      </c>
      <c r="F24" s="1">
        <v>10.7</v>
      </c>
      <c r="G24" s="1">
        <v>2.2</v>
      </c>
      <c r="H24" s="2">
        <v>36390</v>
      </c>
      <c r="I24" t="s">
        <v>25</v>
      </c>
      <c r="J24" s="2">
        <v>7</v>
      </c>
      <c r="K24" t="s">
        <v>16</v>
      </c>
      <c r="L24" s="2">
        <v>4</v>
      </c>
      <c r="M24" t="s">
        <v>30</v>
      </c>
      <c r="N24" s="2">
        <v>5</v>
      </c>
    </row>
    <row r="25" spans="1:14">
      <c r="A25" t="s">
        <v>52</v>
      </c>
      <c r="B25" s="1" t="str">
        <f>"51-2011"</f>
        <v>51-2011</v>
      </c>
      <c r="C25" s="1">
        <v>34.3</v>
      </c>
      <c r="D25" s="1">
        <v>27.7</v>
      </c>
      <c r="E25" s="1">
        <v>-6.6</v>
      </c>
      <c r="F25" s="1">
        <v>-19.4</v>
      </c>
      <c r="G25" s="1">
        <v>2.9</v>
      </c>
      <c r="H25" s="2">
        <v>49480</v>
      </c>
      <c r="I25" t="s">
        <v>25</v>
      </c>
      <c r="J25" s="2">
        <v>7</v>
      </c>
      <c r="K25" t="s">
        <v>16</v>
      </c>
      <c r="L25" s="2">
        <v>4</v>
      </c>
      <c r="M25" t="s">
        <v>26</v>
      </c>
      <c r="N25" s="2">
        <v>4</v>
      </c>
    </row>
    <row r="26" spans="1:14">
      <c r="A26" t="s">
        <v>53</v>
      </c>
      <c r="B26" s="1" t="str">
        <f>"53-2022"</f>
        <v>53-2022</v>
      </c>
      <c r="C26" s="1">
        <v>13</v>
      </c>
      <c r="D26" s="1">
        <v>14.1</v>
      </c>
      <c r="E26" s="1">
        <v>1</v>
      </c>
      <c r="F26" s="1">
        <v>8</v>
      </c>
      <c r="G26" s="1">
        <v>1.5</v>
      </c>
      <c r="H26" s="2">
        <v>47880</v>
      </c>
      <c r="I26" t="s">
        <v>25</v>
      </c>
      <c r="J26" s="2">
        <v>7</v>
      </c>
      <c r="K26" t="s">
        <v>16</v>
      </c>
      <c r="L26" s="2">
        <v>4</v>
      </c>
      <c r="M26" t="s">
        <v>20</v>
      </c>
      <c r="N26" s="2">
        <v>3</v>
      </c>
    </row>
    <row r="27" spans="1:14">
      <c r="A27" t="s">
        <v>54</v>
      </c>
      <c r="B27" s="1" t="str">
        <f>"53-2011"</f>
        <v>53-2011</v>
      </c>
      <c r="C27" s="1">
        <v>87.6</v>
      </c>
      <c r="D27" s="1">
        <v>92.9</v>
      </c>
      <c r="E27" s="1">
        <v>5.2</v>
      </c>
      <c r="F27" s="1">
        <v>6</v>
      </c>
      <c r="G27" s="1">
        <v>11.8</v>
      </c>
      <c r="H27" s="2">
        <v>202180</v>
      </c>
      <c r="I27" t="s">
        <v>15</v>
      </c>
      <c r="J27" s="2">
        <v>3</v>
      </c>
      <c r="K27" t="s">
        <v>32</v>
      </c>
      <c r="L27" s="2">
        <v>2</v>
      </c>
      <c r="M27" t="s">
        <v>26</v>
      </c>
      <c r="N27" s="2">
        <v>4</v>
      </c>
    </row>
    <row r="28" spans="1:14">
      <c r="A28" t="s">
        <v>55</v>
      </c>
      <c r="B28" s="1" t="str">
        <f>"53-3011"</f>
        <v>53-3011</v>
      </c>
      <c r="C28" s="1">
        <v>11.9</v>
      </c>
      <c r="D28" s="1">
        <v>11.7</v>
      </c>
      <c r="E28" s="1">
        <v>-0.1</v>
      </c>
      <c r="F28" s="1">
        <v>-1</v>
      </c>
      <c r="G28" s="1">
        <v>1.8</v>
      </c>
      <c r="H28" s="2">
        <v>29120</v>
      </c>
      <c r="I28" t="s">
        <v>25</v>
      </c>
      <c r="J28" s="2">
        <v>7</v>
      </c>
      <c r="K28" t="s">
        <v>16</v>
      </c>
      <c r="L28" s="2">
        <v>4</v>
      </c>
      <c r="M28" t="s">
        <v>26</v>
      </c>
      <c r="N28" s="2">
        <v>4</v>
      </c>
    </row>
    <row r="29" spans="1:14">
      <c r="A29" t="s">
        <v>56</v>
      </c>
      <c r="B29" s="1" t="str">
        <f>"39-3091"</f>
        <v>39-3091</v>
      </c>
      <c r="C29" s="1">
        <v>286.5</v>
      </c>
      <c r="D29" s="1">
        <v>324.9</v>
      </c>
      <c r="E29" s="1">
        <v>38.4</v>
      </c>
      <c r="F29" s="1">
        <v>13.4</v>
      </c>
      <c r="G29" s="1">
        <v>84.8</v>
      </c>
      <c r="H29" s="2">
        <v>24500</v>
      </c>
      <c r="I29" t="s">
        <v>42</v>
      </c>
      <c r="J29" s="2">
        <v>8</v>
      </c>
      <c r="K29" t="s">
        <v>16</v>
      </c>
      <c r="L29" s="2">
        <v>4</v>
      </c>
      <c r="M29" t="s">
        <v>30</v>
      </c>
      <c r="N29" s="2">
        <v>5</v>
      </c>
    </row>
    <row r="30" spans="1:14">
      <c r="A30" t="s">
        <v>57</v>
      </c>
      <c r="B30" s="1" t="str">
        <f>"29-1211"</f>
        <v>29-1211</v>
      </c>
      <c r="C30" s="1">
        <v>34.1</v>
      </c>
      <c r="D30" s="1">
        <v>34.5</v>
      </c>
      <c r="E30" s="1">
        <v>0.4</v>
      </c>
      <c r="F30" s="1">
        <v>1.1</v>
      </c>
      <c r="G30" s="1">
        <v>1</v>
      </c>
      <c r="H30" s="2" t="s">
        <v>58</v>
      </c>
      <c r="I30" t="s">
        <v>28</v>
      </c>
      <c r="J30" s="2">
        <v>1</v>
      </c>
      <c r="K30" t="s">
        <v>16</v>
      </c>
      <c r="L30" s="2">
        <v>4</v>
      </c>
      <c r="M30" t="s">
        <v>59</v>
      </c>
      <c r="N30" s="2">
        <v>1</v>
      </c>
    </row>
    <row r="31" spans="1:14">
      <c r="A31" t="s">
        <v>60</v>
      </c>
      <c r="B31" s="1" t="str">
        <f>"45-2021"</f>
        <v>45-2021</v>
      </c>
      <c r="C31" s="1">
        <v>7.3</v>
      </c>
      <c r="D31" s="1">
        <v>7.6</v>
      </c>
      <c r="E31" s="1">
        <v>0.3</v>
      </c>
      <c r="F31" s="1">
        <v>4.3</v>
      </c>
      <c r="G31" s="1">
        <v>1.2</v>
      </c>
      <c r="H31" s="2">
        <v>40090</v>
      </c>
      <c r="I31" t="s">
        <v>25</v>
      </c>
      <c r="J31" s="2">
        <v>7</v>
      </c>
      <c r="K31" t="s">
        <v>16</v>
      </c>
      <c r="L31" s="2">
        <v>4</v>
      </c>
      <c r="M31" t="s">
        <v>30</v>
      </c>
      <c r="N31" s="2">
        <v>5</v>
      </c>
    </row>
    <row r="32" spans="1:14">
      <c r="A32" t="s">
        <v>61</v>
      </c>
      <c r="B32" s="1" t="str">
        <f>"39-2021"</f>
        <v>39-2021</v>
      </c>
      <c r="C32" s="1">
        <v>290.7</v>
      </c>
      <c r="D32" s="1">
        <v>377.6</v>
      </c>
      <c r="E32" s="1">
        <v>86.9</v>
      </c>
      <c r="F32" s="1">
        <v>29.9</v>
      </c>
      <c r="G32" s="1">
        <v>70.4</v>
      </c>
      <c r="H32" s="2">
        <v>28600</v>
      </c>
      <c r="I32" t="s">
        <v>25</v>
      </c>
      <c r="J32" s="2">
        <v>7</v>
      </c>
      <c r="K32" t="s">
        <v>16</v>
      </c>
      <c r="L32" s="2">
        <v>4</v>
      </c>
      <c r="M32" t="s">
        <v>30</v>
      </c>
      <c r="N32" s="2">
        <v>5</v>
      </c>
    </row>
    <row r="33" spans="1:14">
      <c r="A33" t="s">
        <v>62</v>
      </c>
      <c r="B33" s="1" t="str">
        <f>"33-9011"</f>
        <v>33-9011</v>
      </c>
      <c r="C33" s="1">
        <v>11.9</v>
      </c>
      <c r="D33" s="1">
        <v>12.5</v>
      </c>
      <c r="E33" s="1">
        <v>0.6</v>
      </c>
      <c r="F33" s="1">
        <v>4.8</v>
      </c>
      <c r="G33" s="1">
        <v>1</v>
      </c>
      <c r="H33" s="2">
        <v>39160</v>
      </c>
      <c r="I33" t="s">
        <v>25</v>
      </c>
      <c r="J33" s="2">
        <v>7</v>
      </c>
      <c r="K33" t="s">
        <v>16</v>
      </c>
      <c r="L33" s="2">
        <v>4</v>
      </c>
      <c r="M33" t="s">
        <v>26</v>
      </c>
      <c r="N33" s="2">
        <v>4</v>
      </c>
    </row>
    <row r="34" spans="1:14">
      <c r="A34" t="s">
        <v>63</v>
      </c>
      <c r="B34" s="1" t="str">
        <f>"19-1011"</f>
        <v>19-1011</v>
      </c>
      <c r="C34" s="1">
        <v>3.7</v>
      </c>
      <c r="D34" s="1">
        <v>4.2</v>
      </c>
      <c r="E34" s="1">
        <v>0.4</v>
      </c>
      <c r="F34" s="1">
        <v>11.8</v>
      </c>
      <c r="G34" s="1">
        <v>0.4</v>
      </c>
      <c r="H34" s="2">
        <v>65090</v>
      </c>
      <c r="I34" t="s">
        <v>15</v>
      </c>
      <c r="J34" s="2">
        <v>3</v>
      </c>
      <c r="K34" t="s">
        <v>16</v>
      </c>
      <c r="L34" s="2">
        <v>4</v>
      </c>
      <c r="M34" t="s">
        <v>16</v>
      </c>
      <c r="N34" s="2">
        <v>6</v>
      </c>
    </row>
    <row r="35" spans="1:14">
      <c r="A35" t="s">
        <v>64</v>
      </c>
      <c r="B35" s="1" t="str">
        <f>"39-2011"</f>
        <v>39-2011</v>
      </c>
      <c r="C35" s="1">
        <v>52.9</v>
      </c>
      <c r="D35" s="1">
        <v>67.2</v>
      </c>
      <c r="E35" s="1">
        <v>14.3</v>
      </c>
      <c r="F35" s="1">
        <v>27.1</v>
      </c>
      <c r="G35" s="1">
        <v>10.6</v>
      </c>
      <c r="H35" s="2">
        <v>31280</v>
      </c>
      <c r="I35" t="s">
        <v>25</v>
      </c>
      <c r="J35" s="2">
        <v>7</v>
      </c>
      <c r="K35" t="s">
        <v>16</v>
      </c>
      <c r="L35" s="2">
        <v>4</v>
      </c>
      <c r="M35" t="s">
        <v>26</v>
      </c>
      <c r="N35" s="2">
        <v>4</v>
      </c>
    </row>
    <row r="36" spans="1:14">
      <c r="A36" t="s">
        <v>65</v>
      </c>
      <c r="B36" s="1" t="str">
        <f>"19-3091"</f>
        <v>19-3091</v>
      </c>
      <c r="C36" s="1">
        <v>7.5</v>
      </c>
      <c r="D36" s="1">
        <v>7.9</v>
      </c>
      <c r="E36" s="1">
        <v>0.5</v>
      </c>
      <c r="F36" s="1">
        <v>6.1</v>
      </c>
      <c r="G36" s="1">
        <v>0.8</v>
      </c>
      <c r="H36" s="2">
        <v>61910</v>
      </c>
      <c r="I36" t="s">
        <v>23</v>
      </c>
      <c r="J36" s="2">
        <v>2</v>
      </c>
      <c r="K36" t="s">
        <v>16</v>
      </c>
      <c r="L36" s="2">
        <v>4</v>
      </c>
      <c r="M36" t="s">
        <v>16</v>
      </c>
      <c r="N36" s="2">
        <v>6</v>
      </c>
    </row>
    <row r="37" spans="1:14">
      <c r="A37" t="s">
        <v>66</v>
      </c>
      <c r="B37" s="1" t="str">
        <f>"25-1061"</f>
        <v>25-1061</v>
      </c>
      <c r="C37" s="1">
        <v>6.4</v>
      </c>
      <c r="D37" s="1">
        <v>6.9</v>
      </c>
      <c r="E37" s="1">
        <v>0.5</v>
      </c>
      <c r="F37" s="1">
        <v>8.3</v>
      </c>
      <c r="G37" s="1">
        <v>0.6</v>
      </c>
      <c r="H37" s="2">
        <v>97340</v>
      </c>
      <c r="I37" t="s">
        <v>28</v>
      </c>
      <c r="J37" s="2">
        <v>1</v>
      </c>
      <c r="K37" t="s">
        <v>16</v>
      </c>
      <c r="L37" s="2">
        <v>4</v>
      </c>
      <c r="M37" t="s">
        <v>16</v>
      </c>
      <c r="N37" s="2">
        <v>6</v>
      </c>
    </row>
    <row r="38" spans="1:14">
      <c r="A38" t="s">
        <v>67</v>
      </c>
      <c r="B38" s="1" t="str">
        <f>"23-1022"</f>
        <v>23-1022</v>
      </c>
      <c r="C38" s="1">
        <v>8.9</v>
      </c>
      <c r="D38" s="1">
        <v>9.5</v>
      </c>
      <c r="E38" s="1">
        <v>0.6</v>
      </c>
      <c r="F38" s="1">
        <v>6.2</v>
      </c>
      <c r="G38" s="1">
        <v>0.5</v>
      </c>
      <c r="H38" s="2">
        <v>49410</v>
      </c>
      <c r="I38" t="s">
        <v>15</v>
      </c>
      <c r="J38" s="2">
        <v>3</v>
      </c>
      <c r="K38" t="s">
        <v>32</v>
      </c>
      <c r="L38" s="2">
        <v>2</v>
      </c>
      <c r="M38" t="s">
        <v>26</v>
      </c>
      <c r="N38" s="2">
        <v>4</v>
      </c>
    </row>
    <row r="39" spans="1:14">
      <c r="A39" t="s">
        <v>68</v>
      </c>
      <c r="B39" s="1" t="str">
        <f>"17-1011"</f>
        <v>17-1011</v>
      </c>
      <c r="C39" s="1">
        <v>125.5</v>
      </c>
      <c r="D39" s="1">
        <v>128.9</v>
      </c>
      <c r="E39" s="1">
        <v>3.3</v>
      </c>
      <c r="F39" s="1">
        <v>2.7</v>
      </c>
      <c r="G39" s="1">
        <v>9.1</v>
      </c>
      <c r="H39" s="2">
        <v>80180</v>
      </c>
      <c r="I39" t="s">
        <v>15</v>
      </c>
      <c r="J39" s="2">
        <v>3</v>
      </c>
      <c r="K39" t="s">
        <v>16</v>
      </c>
      <c r="L39" s="2">
        <v>4</v>
      </c>
      <c r="M39" t="s">
        <v>59</v>
      </c>
      <c r="N39" s="2">
        <v>1</v>
      </c>
    </row>
    <row r="40" spans="1:14">
      <c r="A40" t="s">
        <v>69</v>
      </c>
      <c r="B40" s="1" t="str">
        <f>"17-3011"</f>
        <v>17-3011</v>
      </c>
      <c r="C40" s="1">
        <v>105.4</v>
      </c>
      <c r="D40" s="1">
        <v>104.1</v>
      </c>
      <c r="E40" s="1">
        <v>-1.3</v>
      </c>
      <c r="F40" s="1">
        <v>-1.2</v>
      </c>
      <c r="G40" s="1">
        <v>11.8</v>
      </c>
      <c r="H40" s="2">
        <v>60340</v>
      </c>
      <c r="I40" t="s">
        <v>37</v>
      </c>
      <c r="J40" s="2">
        <v>4</v>
      </c>
      <c r="K40" t="s">
        <v>16</v>
      </c>
      <c r="L40" s="2">
        <v>4</v>
      </c>
      <c r="M40" t="s">
        <v>16</v>
      </c>
      <c r="N40" s="2">
        <v>6</v>
      </c>
    </row>
    <row r="41" spans="1:14">
      <c r="A41" t="s">
        <v>70</v>
      </c>
      <c r="B41" s="1" t="str">
        <f>"11-9041"</f>
        <v>11-9041</v>
      </c>
      <c r="C41" s="1">
        <v>191.1</v>
      </c>
      <c r="D41" s="1">
        <v>195.5</v>
      </c>
      <c r="E41" s="1">
        <v>4.4</v>
      </c>
      <c r="F41" s="1">
        <v>2.3</v>
      </c>
      <c r="G41" s="1">
        <v>14</v>
      </c>
      <c r="H41" s="2">
        <v>152350</v>
      </c>
      <c r="I41" t="s">
        <v>15</v>
      </c>
      <c r="J41" s="2">
        <v>3</v>
      </c>
      <c r="K41" t="s">
        <v>29</v>
      </c>
      <c r="L41" s="2">
        <v>1</v>
      </c>
      <c r="M41" t="s">
        <v>16</v>
      </c>
      <c r="N41" s="2">
        <v>6</v>
      </c>
    </row>
    <row r="42" spans="1:14">
      <c r="A42" t="s">
        <v>71</v>
      </c>
      <c r="B42" s="1" t="str">
        <f>"25-1031"</f>
        <v>25-1031</v>
      </c>
      <c r="C42" s="1">
        <v>7.8</v>
      </c>
      <c r="D42" s="1">
        <v>8.4</v>
      </c>
      <c r="E42" s="1">
        <v>0.6</v>
      </c>
      <c r="F42" s="1">
        <v>7.8</v>
      </c>
      <c r="G42" s="1">
        <v>0.7</v>
      </c>
      <c r="H42" s="2">
        <v>95160</v>
      </c>
      <c r="I42" t="s">
        <v>28</v>
      </c>
      <c r="J42" s="2">
        <v>1</v>
      </c>
      <c r="K42" t="s">
        <v>16</v>
      </c>
      <c r="L42" s="2">
        <v>4</v>
      </c>
      <c r="M42" t="s">
        <v>16</v>
      </c>
      <c r="N42" s="2">
        <v>6</v>
      </c>
    </row>
    <row r="43" spans="1:14">
      <c r="A43" t="s">
        <v>72</v>
      </c>
      <c r="B43" s="1" t="str">
        <f>"25-4011"</f>
        <v>25-4011</v>
      </c>
      <c r="C43" s="1">
        <v>8</v>
      </c>
      <c r="D43" s="1">
        <v>8.7</v>
      </c>
      <c r="E43" s="1">
        <v>0.7</v>
      </c>
      <c r="F43" s="1">
        <v>8.9</v>
      </c>
      <c r="G43" s="1">
        <v>1.1</v>
      </c>
      <c r="H43" s="2">
        <v>60050</v>
      </c>
      <c r="I43" t="s">
        <v>23</v>
      </c>
      <c r="J43" s="2">
        <v>2</v>
      </c>
      <c r="K43" t="s">
        <v>16</v>
      </c>
      <c r="L43" s="2">
        <v>4</v>
      </c>
      <c r="M43" t="s">
        <v>16</v>
      </c>
      <c r="N43" s="2">
        <v>6</v>
      </c>
    </row>
    <row r="44" spans="1:14">
      <c r="A44" t="s">
        <v>73</v>
      </c>
      <c r="B44" s="1" t="str">
        <f>"25-1062"</f>
        <v>25-1062</v>
      </c>
      <c r="C44" s="1">
        <v>11.7</v>
      </c>
      <c r="D44" s="1">
        <v>12.7</v>
      </c>
      <c r="E44" s="1">
        <v>1</v>
      </c>
      <c r="F44" s="1">
        <v>8.5</v>
      </c>
      <c r="G44" s="1">
        <v>1.1</v>
      </c>
      <c r="H44" s="2">
        <v>78910</v>
      </c>
      <c r="I44" t="s">
        <v>28</v>
      </c>
      <c r="J44" s="2">
        <v>1</v>
      </c>
      <c r="K44" t="s">
        <v>16</v>
      </c>
      <c r="L44" s="2">
        <v>4</v>
      </c>
      <c r="M44" t="s">
        <v>16</v>
      </c>
      <c r="N44" s="2">
        <v>6</v>
      </c>
    </row>
    <row r="45" spans="1:14">
      <c r="A45" t="s">
        <v>74</v>
      </c>
      <c r="B45" s="1" t="str">
        <f>"27-1011"</f>
        <v>27-1011</v>
      </c>
      <c r="C45" s="1">
        <v>121.5</v>
      </c>
      <c r="D45" s="1">
        <v>126.2</v>
      </c>
      <c r="E45" s="1">
        <v>4.7</v>
      </c>
      <c r="F45" s="1">
        <v>3.8</v>
      </c>
      <c r="G45" s="1">
        <v>13.4</v>
      </c>
      <c r="H45" s="2">
        <v>100890</v>
      </c>
      <c r="I45" t="s">
        <v>15</v>
      </c>
      <c r="J45" s="2">
        <v>3</v>
      </c>
      <c r="K45" t="s">
        <v>29</v>
      </c>
      <c r="L45" s="2">
        <v>1</v>
      </c>
      <c r="M45" t="s">
        <v>16</v>
      </c>
      <c r="N45" s="2">
        <v>6</v>
      </c>
    </row>
    <row r="46" spans="1:14">
      <c r="A46" t="s">
        <v>75</v>
      </c>
      <c r="B46" s="1" t="str">
        <f>"25-1121"</f>
        <v>25-1121</v>
      </c>
      <c r="C46" s="1">
        <v>121.8</v>
      </c>
      <c r="D46" s="1">
        <v>132.5</v>
      </c>
      <c r="E46" s="1">
        <v>10.7</v>
      </c>
      <c r="F46" s="1">
        <v>8.8</v>
      </c>
      <c r="G46" s="1">
        <v>11.6</v>
      </c>
      <c r="H46" s="2">
        <v>75940</v>
      </c>
      <c r="I46" t="s">
        <v>23</v>
      </c>
      <c r="J46" s="2">
        <v>2</v>
      </c>
      <c r="K46" t="s">
        <v>16</v>
      </c>
      <c r="L46" s="2">
        <v>4</v>
      </c>
      <c r="M46" t="s">
        <v>16</v>
      </c>
      <c r="N46" s="2">
        <v>6</v>
      </c>
    </row>
    <row r="47" spans="1:14">
      <c r="A47" t="s">
        <v>76</v>
      </c>
      <c r="B47" s="1" t="str">
        <f>"27-1019"</f>
        <v>27-1019</v>
      </c>
      <c r="C47" s="1">
        <v>14.5</v>
      </c>
      <c r="D47" s="1">
        <v>15.2</v>
      </c>
      <c r="E47" s="1">
        <v>0.7</v>
      </c>
      <c r="F47" s="1">
        <v>4.5</v>
      </c>
      <c r="G47" s="1">
        <v>1.6</v>
      </c>
      <c r="H47" s="2">
        <v>61580</v>
      </c>
      <c r="I47" t="s">
        <v>42</v>
      </c>
      <c r="J47" s="2">
        <v>8</v>
      </c>
      <c r="K47" t="s">
        <v>16</v>
      </c>
      <c r="L47" s="2">
        <v>4</v>
      </c>
      <c r="M47" t="s">
        <v>20</v>
      </c>
      <c r="N47" s="2">
        <v>3</v>
      </c>
    </row>
    <row r="48" spans="1:14">
      <c r="A48" t="s">
        <v>77</v>
      </c>
      <c r="B48" s="1" t="str">
        <f>"19-2011"</f>
        <v>19-2011</v>
      </c>
      <c r="C48" s="1">
        <v>2.2</v>
      </c>
      <c r="D48" s="1">
        <v>2.4</v>
      </c>
      <c r="E48" s="1">
        <v>0.1</v>
      </c>
      <c r="F48" s="1">
        <v>5.6</v>
      </c>
      <c r="G48" s="1">
        <v>0.2</v>
      </c>
      <c r="H48" s="2">
        <v>128160</v>
      </c>
      <c r="I48" t="s">
        <v>28</v>
      </c>
      <c r="J48" s="2">
        <v>1</v>
      </c>
      <c r="K48" t="s">
        <v>16</v>
      </c>
      <c r="L48" s="2">
        <v>4</v>
      </c>
      <c r="M48" t="s">
        <v>16</v>
      </c>
      <c r="N48" s="2">
        <v>6</v>
      </c>
    </row>
    <row r="49" spans="1:14">
      <c r="A49" t="s">
        <v>78</v>
      </c>
      <c r="B49" s="1" t="str">
        <f>"27-2021"</f>
        <v>27-2021</v>
      </c>
      <c r="C49" s="1">
        <v>15.8</v>
      </c>
      <c r="D49" s="1">
        <v>21.5</v>
      </c>
      <c r="E49" s="1">
        <v>5.7</v>
      </c>
      <c r="F49" s="1">
        <v>35.7</v>
      </c>
      <c r="G49" s="1">
        <v>2.9</v>
      </c>
      <c r="H49" s="2">
        <v>77300</v>
      </c>
      <c r="I49" t="s">
        <v>42</v>
      </c>
      <c r="J49" s="2">
        <v>8</v>
      </c>
      <c r="K49" t="s">
        <v>16</v>
      </c>
      <c r="L49" s="2">
        <v>4</v>
      </c>
      <c r="M49" t="s">
        <v>20</v>
      </c>
      <c r="N49" s="2">
        <v>3</v>
      </c>
    </row>
    <row r="50" spans="1:14">
      <c r="A50" t="s">
        <v>79</v>
      </c>
      <c r="B50" s="1" t="str">
        <f>"29-9091"</f>
        <v>29-9091</v>
      </c>
      <c r="C50" s="1">
        <v>29.4</v>
      </c>
      <c r="D50" s="1">
        <v>34.5</v>
      </c>
      <c r="E50" s="1">
        <v>5.1</v>
      </c>
      <c r="F50" s="1">
        <v>17.5</v>
      </c>
      <c r="G50" s="1">
        <v>2.5</v>
      </c>
      <c r="H50" s="2">
        <v>48420</v>
      </c>
      <c r="I50" t="s">
        <v>23</v>
      </c>
      <c r="J50" s="2">
        <v>2</v>
      </c>
      <c r="K50" t="s">
        <v>16</v>
      </c>
      <c r="L50" s="2">
        <v>4</v>
      </c>
      <c r="M50" t="s">
        <v>16</v>
      </c>
      <c r="N50" s="2">
        <v>6</v>
      </c>
    </row>
    <row r="51" spans="1:14">
      <c r="A51" t="s">
        <v>80</v>
      </c>
      <c r="B51" s="1" t="str">
        <f>"19-2021"</f>
        <v>19-2021</v>
      </c>
      <c r="C51" s="1">
        <v>9.1</v>
      </c>
      <c r="D51" s="1">
        <v>9.4</v>
      </c>
      <c r="E51" s="1">
        <v>0.3</v>
      </c>
      <c r="F51" s="1">
        <v>3.6</v>
      </c>
      <c r="G51" s="1">
        <v>0.7</v>
      </c>
      <c r="H51" s="2">
        <v>94570</v>
      </c>
      <c r="I51" t="s">
        <v>15</v>
      </c>
      <c r="J51" s="2">
        <v>3</v>
      </c>
      <c r="K51" t="s">
        <v>16</v>
      </c>
      <c r="L51" s="2">
        <v>4</v>
      </c>
      <c r="M51" t="s">
        <v>16</v>
      </c>
      <c r="N51" s="2">
        <v>6</v>
      </c>
    </row>
    <row r="52" spans="1:14">
      <c r="A52" t="s">
        <v>81</v>
      </c>
      <c r="B52" s="1" t="str">
        <f>"25-1051"</f>
        <v>25-1051</v>
      </c>
      <c r="C52" s="1">
        <v>12.7</v>
      </c>
      <c r="D52" s="1">
        <v>13.7</v>
      </c>
      <c r="E52" s="1">
        <v>0.9</v>
      </c>
      <c r="F52" s="1">
        <v>7.2</v>
      </c>
      <c r="G52" s="1">
        <v>1.2</v>
      </c>
      <c r="H52" s="2">
        <v>98070</v>
      </c>
      <c r="I52" t="s">
        <v>28</v>
      </c>
      <c r="J52" s="2">
        <v>1</v>
      </c>
      <c r="K52" t="s">
        <v>16</v>
      </c>
      <c r="L52" s="2">
        <v>4</v>
      </c>
      <c r="M52" t="s">
        <v>16</v>
      </c>
      <c r="N52" s="2">
        <v>6</v>
      </c>
    </row>
    <row r="53" spans="1:14">
      <c r="A53" t="s">
        <v>82</v>
      </c>
      <c r="B53" s="1" t="str">
        <f>"27-4011"</f>
        <v>27-4011</v>
      </c>
      <c r="C53" s="1">
        <v>68.6</v>
      </c>
      <c r="D53" s="1">
        <v>79.3</v>
      </c>
      <c r="E53" s="1">
        <v>10.7</v>
      </c>
      <c r="F53" s="1">
        <v>15.7</v>
      </c>
      <c r="G53" s="1">
        <v>8.1</v>
      </c>
      <c r="H53" s="2">
        <v>48820</v>
      </c>
      <c r="I53" t="s">
        <v>50</v>
      </c>
      <c r="J53" s="2">
        <v>5</v>
      </c>
      <c r="K53" t="s">
        <v>16</v>
      </c>
      <c r="L53" s="2">
        <v>4</v>
      </c>
      <c r="M53" t="s">
        <v>30</v>
      </c>
      <c r="N53" s="2">
        <v>5</v>
      </c>
    </row>
    <row r="54" spans="1:14">
      <c r="A54" t="s">
        <v>83</v>
      </c>
      <c r="B54" s="1" t="str">
        <f>"29-1181"</f>
        <v>29-1181</v>
      </c>
      <c r="C54" s="1">
        <v>14.6</v>
      </c>
      <c r="D54" s="1">
        <v>16.1</v>
      </c>
      <c r="E54" s="1">
        <v>1.5</v>
      </c>
      <c r="F54" s="1">
        <v>10.4</v>
      </c>
      <c r="G54" s="1">
        <v>0.8</v>
      </c>
      <c r="H54" s="2">
        <v>78950</v>
      </c>
      <c r="I54" t="s">
        <v>28</v>
      </c>
      <c r="J54" s="2">
        <v>1</v>
      </c>
      <c r="K54" t="s">
        <v>16</v>
      </c>
      <c r="L54" s="2">
        <v>4</v>
      </c>
      <c r="M54" t="s">
        <v>16</v>
      </c>
      <c r="N54" s="2">
        <v>6</v>
      </c>
    </row>
    <row r="55" spans="1:14">
      <c r="A55" t="s">
        <v>84</v>
      </c>
      <c r="B55" s="1" t="str">
        <f>"49-2097"</f>
        <v>49-2097</v>
      </c>
      <c r="C55" s="1">
        <v>26.6</v>
      </c>
      <c r="D55" s="1">
        <v>25.9</v>
      </c>
      <c r="E55" s="1">
        <v>-0.7</v>
      </c>
      <c r="F55" s="1">
        <v>-2.6</v>
      </c>
      <c r="G55" s="1">
        <v>2.7</v>
      </c>
      <c r="H55" s="2">
        <v>44790</v>
      </c>
      <c r="I55" t="s">
        <v>50</v>
      </c>
      <c r="J55" s="2">
        <v>5</v>
      </c>
      <c r="K55" t="s">
        <v>16</v>
      </c>
      <c r="L55" s="2">
        <v>4</v>
      </c>
      <c r="M55" t="s">
        <v>30</v>
      </c>
      <c r="N55" s="2">
        <v>5</v>
      </c>
    </row>
    <row r="56" spans="1:14">
      <c r="A56" t="s">
        <v>85</v>
      </c>
      <c r="B56" s="1" t="str">
        <f>"53-6031"</f>
        <v>53-6031</v>
      </c>
      <c r="C56" s="1">
        <v>113.6</v>
      </c>
      <c r="D56" s="1">
        <v>113.2</v>
      </c>
      <c r="E56" s="1">
        <v>-0.4</v>
      </c>
      <c r="F56" s="1">
        <v>-0.4</v>
      </c>
      <c r="G56" s="1">
        <v>17.7</v>
      </c>
      <c r="H56" s="2">
        <v>29330</v>
      </c>
      <c r="I56" t="s">
        <v>42</v>
      </c>
      <c r="J56" s="2">
        <v>8</v>
      </c>
      <c r="K56" t="s">
        <v>16</v>
      </c>
      <c r="L56" s="2">
        <v>4</v>
      </c>
      <c r="M56" t="s">
        <v>30</v>
      </c>
      <c r="N56" s="2">
        <v>5</v>
      </c>
    </row>
    <row r="57" spans="1:14">
      <c r="A57" t="s">
        <v>86</v>
      </c>
      <c r="B57" s="1" t="str">
        <f>"49-3021"</f>
        <v>49-3021</v>
      </c>
      <c r="C57" s="1">
        <v>152.5</v>
      </c>
      <c r="D57" s="1">
        <v>156.8</v>
      </c>
      <c r="E57" s="1">
        <v>4.2</v>
      </c>
      <c r="F57" s="1">
        <v>2.8</v>
      </c>
      <c r="G57" s="1">
        <v>15.2</v>
      </c>
      <c r="H57" s="2">
        <v>47270</v>
      </c>
      <c r="I57" t="s">
        <v>25</v>
      </c>
      <c r="J57" s="2">
        <v>7</v>
      </c>
      <c r="K57" t="s">
        <v>16</v>
      </c>
      <c r="L57" s="2">
        <v>4</v>
      </c>
      <c r="M57" t="s">
        <v>20</v>
      </c>
      <c r="N57" s="2">
        <v>3</v>
      </c>
    </row>
    <row r="58" spans="1:14">
      <c r="A58" t="s">
        <v>87</v>
      </c>
      <c r="B58" s="1" t="str">
        <f>"49-3022"</f>
        <v>49-3022</v>
      </c>
      <c r="C58" s="1">
        <v>18.5</v>
      </c>
      <c r="D58" s="1">
        <v>19.3</v>
      </c>
      <c r="E58" s="1">
        <v>0.8</v>
      </c>
      <c r="F58" s="1">
        <v>4.4</v>
      </c>
      <c r="G58" s="1">
        <v>1.8</v>
      </c>
      <c r="H58" s="2">
        <v>37920</v>
      </c>
      <c r="I58" t="s">
        <v>25</v>
      </c>
      <c r="J58" s="2">
        <v>7</v>
      </c>
      <c r="K58" t="s">
        <v>16</v>
      </c>
      <c r="L58" s="2">
        <v>4</v>
      </c>
      <c r="M58" t="s">
        <v>26</v>
      </c>
      <c r="N58" s="2">
        <v>4</v>
      </c>
    </row>
    <row r="59" spans="1:14">
      <c r="A59" t="s">
        <v>88</v>
      </c>
      <c r="B59" s="1" t="str">
        <f>"49-3023"</f>
        <v>49-3023</v>
      </c>
      <c r="C59" s="1">
        <v>733.2</v>
      </c>
      <c r="D59" s="1">
        <v>743.8</v>
      </c>
      <c r="E59" s="1">
        <v>10.6</v>
      </c>
      <c r="F59" s="1">
        <v>1.4</v>
      </c>
      <c r="G59" s="1">
        <v>73.3</v>
      </c>
      <c r="H59" s="2">
        <v>46880</v>
      </c>
      <c r="I59" t="s">
        <v>50</v>
      </c>
      <c r="J59" s="2">
        <v>5</v>
      </c>
      <c r="K59" t="s">
        <v>16</v>
      </c>
      <c r="L59" s="2">
        <v>4</v>
      </c>
      <c r="M59" t="s">
        <v>30</v>
      </c>
      <c r="N59" s="2">
        <v>5</v>
      </c>
    </row>
    <row r="60" spans="1:14">
      <c r="A60" t="s">
        <v>89</v>
      </c>
      <c r="B60" s="1" t="str">
        <f>"49-2091"</f>
        <v>49-2091</v>
      </c>
      <c r="C60" s="1">
        <v>19.6</v>
      </c>
      <c r="D60" s="1">
        <v>20.6</v>
      </c>
      <c r="E60" s="1">
        <v>1</v>
      </c>
      <c r="F60" s="1">
        <v>5.1</v>
      </c>
      <c r="G60" s="1">
        <v>1.6</v>
      </c>
      <c r="H60" s="2">
        <v>69280</v>
      </c>
      <c r="I60" t="s">
        <v>37</v>
      </c>
      <c r="J60" s="2">
        <v>4</v>
      </c>
      <c r="K60" t="s">
        <v>16</v>
      </c>
      <c r="L60" s="2">
        <v>4</v>
      </c>
      <c r="M60" t="s">
        <v>16</v>
      </c>
      <c r="N60" s="2">
        <v>6</v>
      </c>
    </row>
    <row r="61" spans="1:14">
      <c r="A61" t="s">
        <v>90</v>
      </c>
      <c r="B61" s="1" t="str">
        <f>"39-6011"</f>
        <v>39-6011</v>
      </c>
      <c r="C61" s="1">
        <v>21.7</v>
      </c>
      <c r="D61" s="1">
        <v>26</v>
      </c>
      <c r="E61" s="1">
        <v>4.2</v>
      </c>
      <c r="F61" s="1">
        <v>19.4</v>
      </c>
      <c r="G61" s="1">
        <v>4.1</v>
      </c>
      <c r="H61" s="2">
        <v>29120</v>
      </c>
      <c r="I61" t="s">
        <v>25</v>
      </c>
      <c r="J61" s="2">
        <v>7</v>
      </c>
      <c r="K61" t="s">
        <v>16</v>
      </c>
      <c r="L61" s="2">
        <v>4</v>
      </c>
      <c r="M61" t="s">
        <v>30</v>
      </c>
      <c r="N61" s="2">
        <v>5</v>
      </c>
    </row>
    <row r="62" spans="1:14">
      <c r="A62" t="s">
        <v>91</v>
      </c>
      <c r="B62" s="1" t="str">
        <f>"33-3011"</f>
        <v>33-3011</v>
      </c>
      <c r="C62" s="1">
        <v>16.8</v>
      </c>
      <c r="D62" s="1">
        <v>16.2</v>
      </c>
      <c r="E62" s="1">
        <v>-0.6</v>
      </c>
      <c r="F62" s="1">
        <v>-3.8</v>
      </c>
      <c r="G62" s="1">
        <v>2.1</v>
      </c>
      <c r="H62" s="2">
        <v>48320</v>
      </c>
      <c r="I62" t="s">
        <v>25</v>
      </c>
      <c r="J62" s="2">
        <v>7</v>
      </c>
      <c r="K62" t="s">
        <v>16</v>
      </c>
      <c r="L62" s="2">
        <v>4</v>
      </c>
      <c r="M62" t="s">
        <v>26</v>
      </c>
      <c r="N62" s="2">
        <v>4</v>
      </c>
    </row>
    <row r="63" spans="1:14">
      <c r="A63" t="s">
        <v>92</v>
      </c>
      <c r="B63" s="1" t="str">
        <f>"51-3011"</f>
        <v>51-3011</v>
      </c>
      <c r="C63" s="1">
        <v>200.8</v>
      </c>
      <c r="D63" s="1">
        <v>217</v>
      </c>
      <c r="E63" s="1">
        <v>16.3</v>
      </c>
      <c r="F63" s="1">
        <v>8.1</v>
      </c>
      <c r="G63" s="1">
        <v>31.3</v>
      </c>
      <c r="H63" s="2">
        <v>29750</v>
      </c>
      <c r="I63" t="s">
        <v>42</v>
      </c>
      <c r="J63" s="2">
        <v>8</v>
      </c>
      <c r="K63" t="s">
        <v>16</v>
      </c>
      <c r="L63" s="2">
        <v>4</v>
      </c>
      <c r="M63" t="s">
        <v>26</v>
      </c>
      <c r="N63" s="2">
        <v>4</v>
      </c>
    </row>
    <row r="64" spans="1:14">
      <c r="A64" t="s">
        <v>93</v>
      </c>
      <c r="B64" s="1" t="str">
        <f>"39-5011"</f>
        <v>39-5011</v>
      </c>
      <c r="C64" s="1">
        <v>50.2</v>
      </c>
      <c r="D64" s="1">
        <v>54.4</v>
      </c>
      <c r="E64" s="1">
        <v>4.2</v>
      </c>
      <c r="F64" s="1">
        <v>8.3</v>
      </c>
      <c r="G64" s="1">
        <v>6.6</v>
      </c>
      <c r="H64" s="2">
        <v>29970</v>
      </c>
      <c r="I64" t="s">
        <v>50</v>
      </c>
      <c r="J64" s="2">
        <v>5</v>
      </c>
      <c r="K64" t="s">
        <v>16</v>
      </c>
      <c r="L64" s="2">
        <v>4</v>
      </c>
      <c r="M64" t="s">
        <v>16</v>
      </c>
      <c r="N64" s="2">
        <v>6</v>
      </c>
    </row>
    <row r="65" spans="1:14">
      <c r="A65" t="s">
        <v>94</v>
      </c>
      <c r="B65" s="1" t="str">
        <f>"35-3011"</f>
        <v>35-3011</v>
      </c>
      <c r="C65" s="1">
        <v>514</v>
      </c>
      <c r="D65" s="1">
        <v>606</v>
      </c>
      <c r="E65" s="1">
        <v>92</v>
      </c>
      <c r="F65" s="1">
        <v>17.9</v>
      </c>
      <c r="G65" s="1">
        <v>105.3</v>
      </c>
      <c r="H65" s="2">
        <v>26350</v>
      </c>
      <c r="I65" t="s">
        <v>42</v>
      </c>
      <c r="J65" s="2">
        <v>8</v>
      </c>
      <c r="K65" t="s">
        <v>16</v>
      </c>
      <c r="L65" s="2">
        <v>4</v>
      </c>
      <c r="M65" t="s">
        <v>30</v>
      </c>
      <c r="N65" s="2">
        <v>5</v>
      </c>
    </row>
    <row r="66" spans="1:14">
      <c r="A66" t="s">
        <v>95</v>
      </c>
      <c r="B66" s="1" t="str">
        <f>"49-3091"</f>
        <v>49-3091</v>
      </c>
      <c r="C66" s="1">
        <v>15.1</v>
      </c>
      <c r="D66" s="1">
        <v>15.9</v>
      </c>
      <c r="E66" s="1">
        <v>0.8</v>
      </c>
      <c r="F66" s="1">
        <v>5.2</v>
      </c>
      <c r="G66" s="1">
        <v>1.8</v>
      </c>
      <c r="H66" s="2">
        <v>34690</v>
      </c>
      <c r="I66" t="s">
        <v>25</v>
      </c>
      <c r="J66" s="2">
        <v>7</v>
      </c>
      <c r="K66" t="s">
        <v>16</v>
      </c>
      <c r="L66" s="2">
        <v>4</v>
      </c>
      <c r="M66" t="s">
        <v>26</v>
      </c>
      <c r="N66" s="2">
        <v>4</v>
      </c>
    </row>
    <row r="67" spans="1:14">
      <c r="A67" t="s">
        <v>96</v>
      </c>
      <c r="B67" s="1" t="str">
        <f>"43-3011"</f>
        <v>43-3011</v>
      </c>
      <c r="C67" s="1">
        <v>215.4</v>
      </c>
      <c r="D67" s="1">
        <v>197.9</v>
      </c>
      <c r="E67" s="1">
        <v>-17.5</v>
      </c>
      <c r="F67" s="1">
        <v>-8.1</v>
      </c>
      <c r="G67" s="1">
        <v>22.1</v>
      </c>
      <c r="H67" s="2">
        <v>37700</v>
      </c>
      <c r="I67" t="s">
        <v>25</v>
      </c>
      <c r="J67" s="2">
        <v>7</v>
      </c>
      <c r="K67" t="s">
        <v>16</v>
      </c>
      <c r="L67" s="2">
        <v>4</v>
      </c>
      <c r="M67" t="s">
        <v>26</v>
      </c>
      <c r="N67" s="2">
        <v>4</v>
      </c>
    </row>
    <row r="68" spans="1:14">
      <c r="A68" t="s">
        <v>97</v>
      </c>
      <c r="B68" s="1" t="str">
        <f>"43-3021"</f>
        <v>43-3021</v>
      </c>
      <c r="C68" s="1">
        <v>445.3</v>
      </c>
      <c r="D68" s="1">
        <v>450</v>
      </c>
      <c r="E68" s="1">
        <v>4.7</v>
      </c>
      <c r="F68" s="1">
        <v>1.1</v>
      </c>
      <c r="G68" s="1">
        <v>51.5</v>
      </c>
      <c r="H68" s="2">
        <v>38330</v>
      </c>
      <c r="I68" t="s">
        <v>25</v>
      </c>
      <c r="J68" s="2">
        <v>7</v>
      </c>
      <c r="K68" t="s">
        <v>16</v>
      </c>
      <c r="L68" s="2">
        <v>4</v>
      </c>
      <c r="M68" t="s">
        <v>26</v>
      </c>
      <c r="N68" s="2">
        <v>4</v>
      </c>
    </row>
    <row r="69" spans="1:14">
      <c r="A69" t="s">
        <v>98</v>
      </c>
      <c r="B69" s="1" t="str">
        <f>"19-1021"</f>
        <v>19-1021</v>
      </c>
      <c r="C69" s="1">
        <v>37.5</v>
      </c>
      <c r="D69" s="1">
        <v>43.2</v>
      </c>
      <c r="E69" s="1">
        <v>5.7</v>
      </c>
      <c r="F69" s="1">
        <v>15.3</v>
      </c>
      <c r="G69" s="1">
        <v>4</v>
      </c>
      <c r="H69" s="2">
        <v>102270</v>
      </c>
      <c r="I69" t="s">
        <v>28</v>
      </c>
      <c r="J69" s="2">
        <v>1</v>
      </c>
      <c r="K69" t="s">
        <v>16</v>
      </c>
      <c r="L69" s="2">
        <v>4</v>
      </c>
      <c r="M69" t="s">
        <v>16</v>
      </c>
      <c r="N69" s="2">
        <v>6</v>
      </c>
    </row>
    <row r="70" spans="1:14">
      <c r="A70" t="s">
        <v>99</v>
      </c>
      <c r="B70" s="1" t="str">
        <f>"17-2031"</f>
        <v>17-2031</v>
      </c>
      <c r="C70" s="1">
        <v>17.9</v>
      </c>
      <c r="D70" s="1">
        <v>19.7</v>
      </c>
      <c r="E70" s="1">
        <v>1.7</v>
      </c>
      <c r="F70" s="1">
        <v>9.8</v>
      </c>
      <c r="G70" s="1">
        <v>1.2</v>
      </c>
      <c r="H70" s="2">
        <v>97410</v>
      </c>
      <c r="I70" t="s">
        <v>15</v>
      </c>
      <c r="J70" s="2">
        <v>3</v>
      </c>
      <c r="K70" t="s">
        <v>16</v>
      </c>
      <c r="L70" s="2">
        <v>4</v>
      </c>
      <c r="M70" t="s">
        <v>16</v>
      </c>
      <c r="N70" s="2">
        <v>6</v>
      </c>
    </row>
    <row r="71" spans="1:14">
      <c r="A71" t="s">
        <v>100</v>
      </c>
      <c r="B71" s="1" t="str">
        <f>"25-1042"</f>
        <v>25-1042</v>
      </c>
      <c r="C71" s="1">
        <v>60.2</v>
      </c>
      <c r="D71" s="1">
        <v>67.7</v>
      </c>
      <c r="E71" s="1">
        <v>7.5</v>
      </c>
      <c r="F71" s="1">
        <v>12.4</v>
      </c>
      <c r="G71" s="1">
        <v>6.1</v>
      </c>
      <c r="H71" s="2">
        <v>81440</v>
      </c>
      <c r="I71" t="s">
        <v>28</v>
      </c>
      <c r="J71" s="2">
        <v>1</v>
      </c>
      <c r="K71" t="s">
        <v>16</v>
      </c>
      <c r="L71" s="2">
        <v>4</v>
      </c>
      <c r="M71" t="s">
        <v>16</v>
      </c>
      <c r="N71" s="2">
        <v>6</v>
      </c>
    </row>
    <row r="72" spans="1:14">
      <c r="A72" t="s">
        <v>101</v>
      </c>
      <c r="B72" s="1" t="str">
        <f>"19-1029"</f>
        <v>19-1029</v>
      </c>
      <c r="C72" s="1">
        <v>50.6</v>
      </c>
      <c r="D72" s="1">
        <v>52.5</v>
      </c>
      <c r="E72" s="1">
        <v>1.9</v>
      </c>
      <c r="F72" s="1">
        <v>3.8</v>
      </c>
      <c r="G72" s="1">
        <v>4.6</v>
      </c>
      <c r="H72" s="2">
        <v>82530</v>
      </c>
      <c r="I72" t="s">
        <v>15</v>
      </c>
      <c r="J72" s="2">
        <v>3</v>
      </c>
      <c r="K72" t="s">
        <v>16</v>
      </c>
      <c r="L72" s="2">
        <v>4</v>
      </c>
      <c r="M72" t="s">
        <v>16</v>
      </c>
      <c r="N72" s="2">
        <v>6</v>
      </c>
    </row>
    <row r="73" spans="1:14">
      <c r="A73" t="s">
        <v>102</v>
      </c>
      <c r="B73" s="1" t="str">
        <f>"19-4021"</f>
        <v>19-4021</v>
      </c>
      <c r="C73" s="1">
        <v>84.3</v>
      </c>
      <c r="D73" s="1">
        <v>92</v>
      </c>
      <c r="E73" s="1">
        <v>7.7</v>
      </c>
      <c r="F73" s="1">
        <v>9.1</v>
      </c>
      <c r="G73" s="1">
        <v>12.2</v>
      </c>
      <c r="H73" s="2">
        <v>48140</v>
      </c>
      <c r="I73" t="s">
        <v>15</v>
      </c>
      <c r="J73" s="2">
        <v>3</v>
      </c>
      <c r="K73" t="s">
        <v>16</v>
      </c>
      <c r="L73" s="2">
        <v>4</v>
      </c>
      <c r="M73" t="s">
        <v>16</v>
      </c>
      <c r="N73" s="2">
        <v>6</v>
      </c>
    </row>
    <row r="74" spans="1:14">
      <c r="A74" t="s">
        <v>103</v>
      </c>
      <c r="B74" s="1" t="str">
        <f>"47-2011"</f>
        <v>47-2011</v>
      </c>
      <c r="C74" s="1">
        <v>13.9</v>
      </c>
      <c r="D74" s="1">
        <v>13.2</v>
      </c>
      <c r="E74" s="1">
        <v>-0.6</v>
      </c>
      <c r="F74" s="1">
        <v>-4.5</v>
      </c>
      <c r="G74" s="1">
        <v>1.1</v>
      </c>
      <c r="H74" s="2">
        <v>64290</v>
      </c>
      <c r="I74" t="s">
        <v>25</v>
      </c>
      <c r="J74" s="2">
        <v>7</v>
      </c>
      <c r="K74" t="s">
        <v>16</v>
      </c>
      <c r="L74" s="2">
        <v>4</v>
      </c>
      <c r="M74" t="s">
        <v>104</v>
      </c>
      <c r="N74" s="2">
        <v>2</v>
      </c>
    </row>
    <row r="75" spans="1:14">
      <c r="A75" t="s">
        <v>105</v>
      </c>
      <c r="B75" s="1" t="str">
        <f>"43-3031"</f>
        <v>43-3031</v>
      </c>
      <c r="C75" s="1">
        <v>1707.8</v>
      </c>
      <c r="D75" s="1">
        <v>1630.6</v>
      </c>
      <c r="E75" s="1">
        <v>-77.2</v>
      </c>
      <c r="F75" s="1">
        <v>-4.5</v>
      </c>
      <c r="G75" s="1">
        <v>197.6</v>
      </c>
      <c r="H75" s="2">
        <v>45560</v>
      </c>
      <c r="I75" t="s">
        <v>19</v>
      </c>
      <c r="J75" s="2">
        <v>6</v>
      </c>
      <c r="K75" t="s">
        <v>16</v>
      </c>
      <c r="L75" s="2">
        <v>4</v>
      </c>
      <c r="M75" t="s">
        <v>26</v>
      </c>
      <c r="N75" s="2">
        <v>4</v>
      </c>
    </row>
    <row r="76" spans="1:14">
      <c r="A76" t="s">
        <v>106</v>
      </c>
      <c r="B76" s="1" t="str">
        <f>"47-2021"</f>
        <v>47-2021</v>
      </c>
      <c r="C76" s="1">
        <v>66.2</v>
      </c>
      <c r="D76" s="1">
        <v>67.6</v>
      </c>
      <c r="E76" s="1">
        <v>1.4</v>
      </c>
      <c r="F76" s="1">
        <v>2.2</v>
      </c>
      <c r="G76" s="1">
        <v>6.5</v>
      </c>
      <c r="H76" s="2">
        <v>59340</v>
      </c>
      <c r="I76" t="s">
        <v>25</v>
      </c>
      <c r="J76" s="2">
        <v>7</v>
      </c>
      <c r="K76" t="s">
        <v>16</v>
      </c>
      <c r="L76" s="2">
        <v>4</v>
      </c>
      <c r="M76" t="s">
        <v>104</v>
      </c>
      <c r="N76" s="2">
        <v>2</v>
      </c>
    </row>
    <row r="77" spans="1:14">
      <c r="A77" t="s">
        <v>107</v>
      </c>
      <c r="B77" s="1" t="str">
        <f>"53-6011"</f>
        <v>53-6011</v>
      </c>
      <c r="C77" s="1">
        <v>4.2</v>
      </c>
      <c r="D77" s="1">
        <v>4.2</v>
      </c>
      <c r="E77" s="1">
        <v>0</v>
      </c>
      <c r="F77" s="1">
        <v>0</v>
      </c>
      <c r="G77" s="1">
        <v>0.5</v>
      </c>
      <c r="H77" s="2">
        <v>45390</v>
      </c>
      <c r="I77" t="s">
        <v>25</v>
      </c>
      <c r="J77" s="2">
        <v>7</v>
      </c>
      <c r="K77" t="s">
        <v>16</v>
      </c>
      <c r="L77" s="2">
        <v>4</v>
      </c>
      <c r="M77" t="s">
        <v>30</v>
      </c>
      <c r="N77" s="2">
        <v>5</v>
      </c>
    </row>
    <row r="78" spans="1:14">
      <c r="A78" t="s">
        <v>108</v>
      </c>
      <c r="B78" s="1" t="str">
        <f>"27-3011"</f>
        <v>27-3011</v>
      </c>
      <c r="C78" s="1">
        <v>25</v>
      </c>
      <c r="D78" s="1">
        <v>22.2</v>
      </c>
      <c r="E78" s="1">
        <v>-2.8</v>
      </c>
      <c r="F78" s="1">
        <v>-11.4</v>
      </c>
      <c r="G78" s="1">
        <v>2.1</v>
      </c>
      <c r="H78" s="2">
        <v>37630</v>
      </c>
      <c r="I78" t="s">
        <v>15</v>
      </c>
      <c r="J78" s="2">
        <v>3</v>
      </c>
      <c r="K78" t="s">
        <v>16</v>
      </c>
      <c r="L78" s="2">
        <v>4</v>
      </c>
      <c r="M78" t="s">
        <v>16</v>
      </c>
      <c r="N78" s="2">
        <v>6</v>
      </c>
    </row>
    <row r="79" spans="1:14">
      <c r="A79" t="s">
        <v>109</v>
      </c>
      <c r="B79" s="1" t="str">
        <f>"27-4012"</f>
        <v>27-4012</v>
      </c>
      <c r="C79" s="1">
        <v>30.5</v>
      </c>
      <c r="D79" s="1">
        <v>29.9</v>
      </c>
      <c r="E79" s="1">
        <v>-0.6</v>
      </c>
      <c r="F79" s="1">
        <v>-2</v>
      </c>
      <c r="G79" s="1">
        <v>2.8</v>
      </c>
      <c r="H79" s="2">
        <v>44740</v>
      </c>
      <c r="I79" t="s">
        <v>37</v>
      </c>
      <c r="J79" s="2">
        <v>4</v>
      </c>
      <c r="K79" t="s">
        <v>16</v>
      </c>
      <c r="L79" s="2">
        <v>4</v>
      </c>
      <c r="M79" t="s">
        <v>30</v>
      </c>
      <c r="N79" s="2">
        <v>5</v>
      </c>
    </row>
    <row r="80" spans="1:14">
      <c r="A80" t="s">
        <v>110</v>
      </c>
      <c r="B80" s="1" t="str">
        <f>"43-4011"</f>
        <v>43-4011</v>
      </c>
      <c r="C80" s="1">
        <v>41</v>
      </c>
      <c r="D80" s="1">
        <v>38.9</v>
      </c>
      <c r="E80" s="1">
        <v>-2.1</v>
      </c>
      <c r="F80" s="1">
        <v>-5.1</v>
      </c>
      <c r="G80" s="1">
        <v>4.5</v>
      </c>
      <c r="H80" s="2">
        <v>54000</v>
      </c>
      <c r="I80" t="s">
        <v>25</v>
      </c>
      <c r="J80" s="2">
        <v>7</v>
      </c>
      <c r="K80" t="s">
        <v>16</v>
      </c>
      <c r="L80" s="2">
        <v>4</v>
      </c>
      <c r="M80" t="s">
        <v>26</v>
      </c>
      <c r="N80" s="2">
        <v>4</v>
      </c>
    </row>
    <row r="81" spans="1:14">
      <c r="A81" t="s">
        <v>111</v>
      </c>
      <c r="B81" s="1" t="str">
        <f>"13-2031"</f>
        <v>13-2031</v>
      </c>
      <c r="C81" s="1">
        <v>50.4</v>
      </c>
      <c r="D81" s="1">
        <v>51.8</v>
      </c>
      <c r="E81" s="1">
        <v>1.4</v>
      </c>
      <c r="F81" s="1">
        <v>2.8</v>
      </c>
      <c r="G81" s="1">
        <v>4</v>
      </c>
      <c r="H81" s="2">
        <v>79940</v>
      </c>
      <c r="I81" t="s">
        <v>15</v>
      </c>
      <c r="J81" s="2">
        <v>3</v>
      </c>
      <c r="K81" t="s">
        <v>16</v>
      </c>
      <c r="L81" s="2">
        <v>4</v>
      </c>
      <c r="M81" t="s">
        <v>16</v>
      </c>
      <c r="N81" s="2">
        <v>6</v>
      </c>
    </row>
    <row r="82" spans="1:14">
      <c r="A82" t="s">
        <v>112</v>
      </c>
      <c r="B82" s="1" t="str">
        <f>"37-2019"</f>
        <v>37-2019</v>
      </c>
      <c r="C82" s="1">
        <v>19.1</v>
      </c>
      <c r="D82" s="1">
        <v>19.7</v>
      </c>
      <c r="E82" s="1">
        <v>0.6</v>
      </c>
      <c r="F82" s="1">
        <v>3.3</v>
      </c>
      <c r="G82" s="1">
        <v>2.8</v>
      </c>
      <c r="H82" s="2">
        <v>34350</v>
      </c>
      <c r="I82" t="s">
        <v>42</v>
      </c>
      <c r="J82" s="2">
        <v>8</v>
      </c>
      <c r="K82" t="s">
        <v>16</v>
      </c>
      <c r="L82" s="2">
        <v>4</v>
      </c>
      <c r="M82" t="s">
        <v>30</v>
      </c>
      <c r="N82" s="2">
        <v>5</v>
      </c>
    </row>
    <row r="83" spans="1:14">
      <c r="A83" t="s">
        <v>113</v>
      </c>
      <c r="B83" s="1" t="str">
        <f>"49-3031"</f>
        <v>49-3031</v>
      </c>
      <c r="C83" s="1">
        <v>293.2</v>
      </c>
      <c r="D83" s="1">
        <v>305.8</v>
      </c>
      <c r="E83" s="1">
        <v>12.6</v>
      </c>
      <c r="F83" s="1">
        <v>4.3</v>
      </c>
      <c r="G83" s="1">
        <v>28.5</v>
      </c>
      <c r="H83" s="2">
        <v>48690</v>
      </c>
      <c r="I83" t="s">
        <v>25</v>
      </c>
      <c r="J83" s="2">
        <v>7</v>
      </c>
      <c r="K83" t="s">
        <v>16</v>
      </c>
      <c r="L83" s="2">
        <v>4</v>
      </c>
      <c r="M83" t="s">
        <v>20</v>
      </c>
      <c r="N83" s="2">
        <v>3</v>
      </c>
    </row>
    <row r="84" spans="1:14">
      <c r="A84" t="s">
        <v>114</v>
      </c>
      <c r="B84" s="1" t="str">
        <f>"53-3051"</f>
        <v>53-3051</v>
      </c>
      <c r="C84" s="1">
        <v>354.7</v>
      </c>
      <c r="D84" s="1">
        <v>378.2</v>
      </c>
      <c r="E84" s="1">
        <v>23.4</v>
      </c>
      <c r="F84" s="1">
        <v>6.6</v>
      </c>
      <c r="G84" s="1">
        <v>59.5</v>
      </c>
      <c r="H84" s="2">
        <v>37910</v>
      </c>
      <c r="I84" t="s">
        <v>25</v>
      </c>
      <c r="J84" s="2">
        <v>7</v>
      </c>
      <c r="K84" t="s">
        <v>16</v>
      </c>
      <c r="L84" s="2">
        <v>4</v>
      </c>
      <c r="M84" t="s">
        <v>30</v>
      </c>
      <c r="N84" s="2">
        <v>5</v>
      </c>
    </row>
    <row r="85" spans="1:14">
      <c r="A85" t="s">
        <v>115</v>
      </c>
      <c r="B85" s="1" t="str">
        <f>"53-3052"</f>
        <v>53-3052</v>
      </c>
      <c r="C85" s="1">
        <v>159.9</v>
      </c>
      <c r="D85" s="1">
        <v>173</v>
      </c>
      <c r="E85" s="1">
        <v>13.1</v>
      </c>
      <c r="F85" s="1">
        <v>8.2</v>
      </c>
      <c r="G85" s="1">
        <v>23.3</v>
      </c>
      <c r="H85" s="2">
        <v>48620</v>
      </c>
      <c r="I85" t="s">
        <v>25</v>
      </c>
      <c r="J85" s="2">
        <v>7</v>
      </c>
      <c r="K85" t="s">
        <v>16</v>
      </c>
      <c r="L85" s="2">
        <v>4</v>
      </c>
      <c r="M85" t="s">
        <v>26</v>
      </c>
      <c r="N85" s="2">
        <v>4</v>
      </c>
    </row>
    <row r="86" spans="1:14">
      <c r="A86" t="s">
        <v>116</v>
      </c>
      <c r="B86" s="1" t="str">
        <f>"13-1199"</f>
        <v>13-1199</v>
      </c>
      <c r="C86" s="1">
        <v>1133</v>
      </c>
      <c r="D86" s="1">
        <v>1190</v>
      </c>
      <c r="E86" s="1">
        <v>57</v>
      </c>
      <c r="F86" s="1">
        <v>5</v>
      </c>
      <c r="G86" s="1">
        <v>114.2</v>
      </c>
      <c r="H86" s="2">
        <v>74670</v>
      </c>
      <c r="I86" t="s">
        <v>15</v>
      </c>
      <c r="J86" s="2">
        <v>3</v>
      </c>
      <c r="K86" t="s">
        <v>16</v>
      </c>
      <c r="L86" s="2">
        <v>4</v>
      </c>
      <c r="M86" t="s">
        <v>16</v>
      </c>
      <c r="N86" s="2">
        <v>6</v>
      </c>
    </row>
    <row r="87" spans="1:14">
      <c r="A87" t="s">
        <v>117</v>
      </c>
      <c r="B87" s="1" t="str">
        <f>"25-1011"</f>
        <v>25-1011</v>
      </c>
      <c r="C87" s="1">
        <v>103.4</v>
      </c>
      <c r="D87" s="1">
        <v>109.8</v>
      </c>
      <c r="E87" s="1">
        <v>6.4</v>
      </c>
      <c r="F87" s="1">
        <v>6.2</v>
      </c>
      <c r="G87" s="1">
        <v>9.5</v>
      </c>
      <c r="H87" s="2">
        <v>94360</v>
      </c>
      <c r="I87" t="s">
        <v>28</v>
      </c>
      <c r="J87" s="2">
        <v>1</v>
      </c>
      <c r="K87" t="s">
        <v>16</v>
      </c>
      <c r="L87" s="2">
        <v>4</v>
      </c>
      <c r="M87" t="s">
        <v>16</v>
      </c>
      <c r="N87" s="2">
        <v>6</v>
      </c>
    </row>
    <row r="88" spans="1:14">
      <c r="A88" t="s">
        <v>118</v>
      </c>
      <c r="B88" s="1" t="str">
        <f>"51-3021"</f>
        <v>51-3021</v>
      </c>
      <c r="C88" s="1">
        <v>146.9</v>
      </c>
      <c r="D88" s="1">
        <v>142</v>
      </c>
      <c r="E88" s="1">
        <v>-4.9</v>
      </c>
      <c r="F88" s="1">
        <v>-3.3</v>
      </c>
      <c r="G88" s="1">
        <v>17.7</v>
      </c>
      <c r="H88" s="2">
        <v>36050</v>
      </c>
      <c r="I88" t="s">
        <v>42</v>
      </c>
      <c r="J88" s="2">
        <v>8</v>
      </c>
      <c r="K88" t="s">
        <v>16</v>
      </c>
      <c r="L88" s="2">
        <v>4</v>
      </c>
      <c r="M88" t="s">
        <v>20</v>
      </c>
      <c r="N88" s="2">
        <v>3</v>
      </c>
    </row>
    <row r="89" spans="1:14">
      <c r="A89" t="s">
        <v>119</v>
      </c>
      <c r="B89" s="1" t="str">
        <f>"13-1020"</f>
        <v>13-1020</v>
      </c>
      <c r="C89" s="1">
        <v>459.8</v>
      </c>
      <c r="D89" s="1">
        <v>427.5</v>
      </c>
      <c r="E89" s="1">
        <v>-32.2</v>
      </c>
      <c r="F89" s="1">
        <v>-7</v>
      </c>
      <c r="G89" s="1">
        <v>41</v>
      </c>
      <c r="H89" s="2">
        <v>63470</v>
      </c>
      <c r="I89" t="s">
        <v>15</v>
      </c>
      <c r="J89" s="2">
        <v>3</v>
      </c>
      <c r="K89" t="s">
        <v>16</v>
      </c>
      <c r="L89" s="2">
        <v>4</v>
      </c>
      <c r="M89" t="s">
        <v>26</v>
      </c>
      <c r="N89" s="2">
        <v>4</v>
      </c>
    </row>
    <row r="90" spans="1:14">
      <c r="A90" t="s">
        <v>120</v>
      </c>
      <c r="B90" s="1" t="str">
        <f>"51-7011"</f>
        <v>51-7011</v>
      </c>
      <c r="C90" s="1">
        <v>102.9</v>
      </c>
      <c r="D90" s="1">
        <v>106.5</v>
      </c>
      <c r="E90" s="1">
        <v>3.6</v>
      </c>
      <c r="F90" s="1">
        <v>3.5</v>
      </c>
      <c r="G90" s="1">
        <v>11.5</v>
      </c>
      <c r="H90" s="2">
        <v>37540</v>
      </c>
      <c r="I90" t="s">
        <v>25</v>
      </c>
      <c r="J90" s="2">
        <v>7</v>
      </c>
      <c r="K90" t="s">
        <v>16</v>
      </c>
      <c r="L90" s="2">
        <v>4</v>
      </c>
      <c r="M90" t="s">
        <v>26</v>
      </c>
      <c r="N90" s="2">
        <v>4</v>
      </c>
    </row>
    <row r="91" spans="1:14">
      <c r="A91" t="s">
        <v>121</v>
      </c>
      <c r="B91" s="1" t="str">
        <f>"17-3028"</f>
        <v>17-3028</v>
      </c>
      <c r="C91" s="1">
        <v>8.9</v>
      </c>
      <c r="D91" s="1">
        <v>9.2</v>
      </c>
      <c r="E91" s="1">
        <v>0.3</v>
      </c>
      <c r="F91" s="1">
        <v>3.9</v>
      </c>
      <c r="G91" s="1">
        <v>0.9</v>
      </c>
      <c r="H91" s="2">
        <v>60340</v>
      </c>
      <c r="I91" t="s">
        <v>37</v>
      </c>
      <c r="J91" s="2">
        <v>4</v>
      </c>
      <c r="K91" t="s">
        <v>16</v>
      </c>
      <c r="L91" s="2">
        <v>4</v>
      </c>
      <c r="M91" t="s">
        <v>16</v>
      </c>
      <c r="N91" s="2">
        <v>6</v>
      </c>
    </row>
    <row r="92" spans="1:14">
      <c r="A92" t="s">
        <v>122</v>
      </c>
      <c r="B92" s="1" t="str">
        <f>"49-9061"</f>
        <v>49-9061</v>
      </c>
      <c r="C92" s="1">
        <v>2.5</v>
      </c>
      <c r="D92" s="1">
        <v>2.7</v>
      </c>
      <c r="E92" s="1">
        <v>0.1</v>
      </c>
      <c r="F92" s="1">
        <v>4.8</v>
      </c>
      <c r="G92" s="1">
        <v>0.3</v>
      </c>
      <c r="H92" s="2">
        <v>38200</v>
      </c>
      <c r="I92" t="s">
        <v>25</v>
      </c>
      <c r="J92" s="2">
        <v>7</v>
      </c>
      <c r="K92" t="s">
        <v>16</v>
      </c>
      <c r="L92" s="2">
        <v>4</v>
      </c>
      <c r="M92" t="s">
        <v>20</v>
      </c>
      <c r="N92" s="2">
        <v>3</v>
      </c>
    </row>
    <row r="93" spans="1:14">
      <c r="A93" t="s">
        <v>123</v>
      </c>
      <c r="B93" s="1" t="str">
        <f>"27-4031"</f>
        <v>27-4031</v>
      </c>
      <c r="C93" s="1">
        <v>33.7</v>
      </c>
      <c r="D93" s="1">
        <v>36.7</v>
      </c>
      <c r="E93" s="1">
        <v>3</v>
      </c>
      <c r="F93" s="1">
        <v>8.9</v>
      </c>
      <c r="G93" s="1">
        <v>3.7</v>
      </c>
      <c r="H93" s="2">
        <v>49230</v>
      </c>
      <c r="I93" t="s">
        <v>15</v>
      </c>
      <c r="J93" s="2">
        <v>3</v>
      </c>
      <c r="K93" t="s">
        <v>16</v>
      </c>
      <c r="L93" s="2">
        <v>4</v>
      </c>
      <c r="M93" t="s">
        <v>16</v>
      </c>
      <c r="N93" s="2">
        <v>6</v>
      </c>
    </row>
    <row r="94" spans="1:14">
      <c r="A94" t="s">
        <v>124</v>
      </c>
      <c r="B94" s="1" t="str">
        <f>"53-5021"</f>
        <v>53-5021</v>
      </c>
      <c r="C94" s="1">
        <v>36.8</v>
      </c>
      <c r="D94" s="1">
        <v>37.2</v>
      </c>
      <c r="E94" s="1">
        <v>0.4</v>
      </c>
      <c r="F94" s="1">
        <v>1.2</v>
      </c>
      <c r="G94" s="1">
        <v>4.1</v>
      </c>
      <c r="H94" s="2">
        <v>81640</v>
      </c>
      <c r="I94" t="s">
        <v>50</v>
      </c>
      <c r="J94" s="2">
        <v>5</v>
      </c>
      <c r="K94" t="s">
        <v>32</v>
      </c>
      <c r="L94" s="2">
        <v>2</v>
      </c>
      <c r="M94" t="s">
        <v>16</v>
      </c>
      <c r="N94" s="2">
        <v>6</v>
      </c>
    </row>
    <row r="95" spans="1:14">
      <c r="A95" t="s">
        <v>125</v>
      </c>
      <c r="B95" s="1" t="str">
        <f>"29-1212"</f>
        <v>29-1212</v>
      </c>
      <c r="C95" s="1">
        <v>20.3</v>
      </c>
      <c r="D95" s="1">
        <v>20.9</v>
      </c>
      <c r="E95" s="1">
        <v>0.6</v>
      </c>
      <c r="F95" s="1">
        <v>2.8</v>
      </c>
      <c r="G95" s="1">
        <v>0.6</v>
      </c>
      <c r="H95" s="2" t="s">
        <v>58</v>
      </c>
      <c r="I95" t="s">
        <v>28</v>
      </c>
      <c r="J95" s="2">
        <v>1</v>
      </c>
      <c r="K95" t="s">
        <v>16</v>
      </c>
      <c r="L95" s="2">
        <v>4</v>
      </c>
      <c r="M95" t="s">
        <v>59</v>
      </c>
      <c r="N95" s="2">
        <v>1</v>
      </c>
    </row>
    <row r="96" spans="1:14">
      <c r="A96" t="s">
        <v>126</v>
      </c>
      <c r="B96" s="1" t="str">
        <f>"29-2031"</f>
        <v>29-2031</v>
      </c>
      <c r="C96" s="1">
        <v>58.1</v>
      </c>
      <c r="D96" s="1">
        <v>60.8</v>
      </c>
      <c r="E96" s="1">
        <v>2.7</v>
      </c>
      <c r="F96" s="1">
        <v>4.6</v>
      </c>
      <c r="G96" s="1">
        <v>4.1</v>
      </c>
      <c r="H96" s="2">
        <v>60570</v>
      </c>
      <c r="I96" t="s">
        <v>37</v>
      </c>
      <c r="J96" s="2">
        <v>4</v>
      </c>
      <c r="K96" t="s">
        <v>16</v>
      </c>
      <c r="L96" s="2">
        <v>4</v>
      </c>
      <c r="M96" t="s">
        <v>16</v>
      </c>
      <c r="N96" s="2">
        <v>6</v>
      </c>
    </row>
    <row r="97" spans="1:14">
      <c r="A97" t="s">
        <v>127</v>
      </c>
      <c r="B97" s="1" t="str">
        <f>"25-2023"</f>
        <v>25-2023</v>
      </c>
      <c r="C97" s="1">
        <v>11.9</v>
      </c>
      <c r="D97" s="1">
        <v>12.3</v>
      </c>
      <c r="E97" s="1">
        <v>0.4</v>
      </c>
      <c r="F97" s="1">
        <v>3.4</v>
      </c>
      <c r="G97" s="1">
        <v>0.9</v>
      </c>
      <c r="H97" s="2">
        <v>61820</v>
      </c>
      <c r="I97" t="s">
        <v>15</v>
      </c>
      <c r="J97" s="2">
        <v>3</v>
      </c>
      <c r="K97" t="s">
        <v>32</v>
      </c>
      <c r="L97" s="2">
        <v>2</v>
      </c>
      <c r="M97" t="s">
        <v>16</v>
      </c>
      <c r="N97" s="2">
        <v>6</v>
      </c>
    </row>
    <row r="98" spans="1:14">
      <c r="A98" t="s">
        <v>128</v>
      </c>
      <c r="B98" s="1" t="str">
        <f>"25-1194"</f>
        <v>25-1194</v>
      </c>
      <c r="C98" s="1">
        <v>118.8</v>
      </c>
      <c r="D98" s="1">
        <v>120.9</v>
      </c>
      <c r="E98" s="1">
        <v>2.1</v>
      </c>
      <c r="F98" s="1">
        <v>1.8</v>
      </c>
      <c r="G98" s="1">
        <v>10.2</v>
      </c>
      <c r="H98" s="2">
        <v>59840</v>
      </c>
      <c r="I98" t="s">
        <v>15</v>
      </c>
      <c r="J98" s="2">
        <v>3</v>
      </c>
      <c r="K98" t="s">
        <v>32</v>
      </c>
      <c r="L98" s="2">
        <v>2</v>
      </c>
      <c r="M98" t="s">
        <v>16</v>
      </c>
      <c r="N98" s="2">
        <v>6</v>
      </c>
    </row>
    <row r="99" spans="1:14">
      <c r="A99" t="s">
        <v>129</v>
      </c>
      <c r="B99" s="1" t="str">
        <f>"25-2032"</f>
        <v>25-2032</v>
      </c>
      <c r="C99" s="1">
        <v>84.4</v>
      </c>
      <c r="D99" s="1">
        <v>87.2</v>
      </c>
      <c r="E99" s="1">
        <v>2.8</v>
      </c>
      <c r="F99" s="1">
        <v>3.3</v>
      </c>
      <c r="G99" s="1">
        <v>6.1</v>
      </c>
      <c r="H99" s="2">
        <v>61820</v>
      </c>
      <c r="I99" t="s">
        <v>15</v>
      </c>
      <c r="J99" s="2">
        <v>3</v>
      </c>
      <c r="K99" t="s">
        <v>32</v>
      </c>
      <c r="L99" s="2">
        <v>2</v>
      </c>
      <c r="M99" t="s">
        <v>16</v>
      </c>
      <c r="N99" s="2">
        <v>6</v>
      </c>
    </row>
    <row r="100" spans="1:14">
      <c r="A100" t="s">
        <v>130</v>
      </c>
      <c r="B100" s="1" t="str">
        <f>"43-5011"</f>
        <v>43-5011</v>
      </c>
      <c r="C100" s="1">
        <v>88.6</v>
      </c>
      <c r="D100" s="1">
        <v>96.5</v>
      </c>
      <c r="E100" s="1">
        <v>7.8</v>
      </c>
      <c r="F100" s="1">
        <v>8.8</v>
      </c>
      <c r="G100" s="1">
        <v>11.2</v>
      </c>
      <c r="H100" s="2">
        <v>46910</v>
      </c>
      <c r="I100" t="s">
        <v>25</v>
      </c>
      <c r="J100" s="2">
        <v>7</v>
      </c>
      <c r="K100" t="s">
        <v>16</v>
      </c>
      <c r="L100" s="2">
        <v>4</v>
      </c>
      <c r="M100" t="s">
        <v>30</v>
      </c>
      <c r="N100" s="2">
        <v>5</v>
      </c>
    </row>
    <row r="101" spans="1:14">
      <c r="A101" t="s">
        <v>131</v>
      </c>
      <c r="B101" s="1" t="str">
        <f>"47-2031"</f>
        <v>47-2031</v>
      </c>
      <c r="C101" s="1">
        <v>948.5</v>
      </c>
      <c r="D101" s="1">
        <v>969</v>
      </c>
      <c r="E101" s="1">
        <v>20.5</v>
      </c>
      <c r="F101" s="1">
        <v>2.2</v>
      </c>
      <c r="G101" s="1">
        <v>91.2</v>
      </c>
      <c r="H101" s="2">
        <v>48260</v>
      </c>
      <c r="I101" t="s">
        <v>25</v>
      </c>
      <c r="J101" s="2">
        <v>7</v>
      </c>
      <c r="K101" t="s">
        <v>16</v>
      </c>
      <c r="L101" s="2">
        <v>4</v>
      </c>
      <c r="M101" t="s">
        <v>104</v>
      </c>
      <c r="N101" s="2">
        <v>2</v>
      </c>
    </row>
    <row r="102" spans="1:14">
      <c r="A102" t="s">
        <v>132</v>
      </c>
      <c r="B102" s="1" t="str">
        <f>"47-2041"</f>
        <v>47-2041</v>
      </c>
      <c r="C102" s="1">
        <v>27.2</v>
      </c>
      <c r="D102" s="1">
        <v>24.8</v>
      </c>
      <c r="E102" s="1">
        <v>-2.5</v>
      </c>
      <c r="F102" s="1">
        <v>-9</v>
      </c>
      <c r="G102" s="1">
        <v>2</v>
      </c>
      <c r="H102" s="2">
        <v>46640</v>
      </c>
      <c r="I102" t="s">
        <v>42</v>
      </c>
      <c r="J102" s="2">
        <v>8</v>
      </c>
      <c r="K102" t="s">
        <v>16</v>
      </c>
      <c r="L102" s="2">
        <v>4</v>
      </c>
      <c r="M102" t="s">
        <v>30</v>
      </c>
      <c r="N102" s="2">
        <v>5</v>
      </c>
    </row>
    <row r="103" spans="1:14">
      <c r="A103" t="s">
        <v>133</v>
      </c>
      <c r="B103" s="1" t="str">
        <f>"17-1021"</f>
        <v>17-1021</v>
      </c>
      <c r="C103" s="1">
        <v>13.4</v>
      </c>
      <c r="D103" s="1">
        <v>13.7</v>
      </c>
      <c r="E103" s="1">
        <v>0.3</v>
      </c>
      <c r="F103" s="1">
        <v>2.6</v>
      </c>
      <c r="G103" s="1">
        <v>1</v>
      </c>
      <c r="H103" s="2">
        <v>68900</v>
      </c>
      <c r="I103" t="s">
        <v>15</v>
      </c>
      <c r="J103" s="2">
        <v>3</v>
      </c>
      <c r="K103" t="s">
        <v>16</v>
      </c>
      <c r="L103" s="2">
        <v>4</v>
      </c>
      <c r="M103" t="s">
        <v>16</v>
      </c>
      <c r="N103" s="2">
        <v>6</v>
      </c>
    </row>
    <row r="104" spans="1:14">
      <c r="A104" t="s">
        <v>134</v>
      </c>
      <c r="B104" s="1" t="str">
        <f>"41-2011"</f>
        <v>41-2011</v>
      </c>
      <c r="C104" s="1">
        <v>3371.6</v>
      </c>
      <c r="D104" s="1">
        <v>3036</v>
      </c>
      <c r="E104" s="1">
        <v>-335.7</v>
      </c>
      <c r="F104" s="1">
        <v>-10</v>
      </c>
      <c r="G104" s="1">
        <v>570.7</v>
      </c>
      <c r="H104" s="2">
        <v>27260</v>
      </c>
      <c r="I104" t="s">
        <v>42</v>
      </c>
      <c r="J104" s="2">
        <v>8</v>
      </c>
      <c r="K104" t="s">
        <v>16</v>
      </c>
      <c r="L104" s="2">
        <v>4</v>
      </c>
      <c r="M104" t="s">
        <v>30</v>
      </c>
      <c r="N104" s="2">
        <v>5</v>
      </c>
    </row>
    <row r="105" spans="1:14">
      <c r="A105" t="s">
        <v>135</v>
      </c>
      <c r="B105" s="1" t="str">
        <f>"47-2051"</f>
        <v>47-2051</v>
      </c>
      <c r="C105" s="1">
        <v>187.7</v>
      </c>
      <c r="D105" s="1">
        <v>181.3</v>
      </c>
      <c r="E105" s="1">
        <v>-6.4</v>
      </c>
      <c r="F105" s="1">
        <v>-3.4</v>
      </c>
      <c r="G105" s="1">
        <v>15.7</v>
      </c>
      <c r="H105" s="2">
        <v>47340</v>
      </c>
      <c r="I105" t="s">
        <v>42</v>
      </c>
      <c r="J105" s="2">
        <v>8</v>
      </c>
      <c r="K105" t="s">
        <v>16</v>
      </c>
      <c r="L105" s="2">
        <v>4</v>
      </c>
      <c r="M105" t="s">
        <v>26</v>
      </c>
      <c r="N105" s="2">
        <v>4</v>
      </c>
    </row>
    <row r="106" spans="1:14">
      <c r="A106" t="s">
        <v>136</v>
      </c>
      <c r="B106" s="1" t="str">
        <f>"35-1011"</f>
        <v>35-1011</v>
      </c>
      <c r="C106" s="1">
        <v>152.8</v>
      </c>
      <c r="D106" s="1">
        <v>176.3</v>
      </c>
      <c r="E106" s="1">
        <v>23.6</v>
      </c>
      <c r="F106" s="1">
        <v>15.4</v>
      </c>
      <c r="G106" s="1">
        <v>24.3</v>
      </c>
      <c r="H106" s="2">
        <v>50160</v>
      </c>
      <c r="I106" t="s">
        <v>25</v>
      </c>
      <c r="J106" s="2">
        <v>7</v>
      </c>
      <c r="K106" t="s">
        <v>29</v>
      </c>
      <c r="L106" s="2">
        <v>1</v>
      </c>
      <c r="M106" t="s">
        <v>16</v>
      </c>
      <c r="N106" s="2">
        <v>6</v>
      </c>
    </row>
    <row r="107" spans="1:14">
      <c r="A107" t="s">
        <v>137</v>
      </c>
      <c r="B107" s="1" t="str">
        <f>"17-2041"</f>
        <v>17-2041</v>
      </c>
      <c r="C107" s="1">
        <v>26.9</v>
      </c>
      <c r="D107" s="1">
        <v>30.7</v>
      </c>
      <c r="E107" s="1">
        <v>3.7</v>
      </c>
      <c r="F107" s="1">
        <v>13.9</v>
      </c>
      <c r="G107" s="1">
        <v>2</v>
      </c>
      <c r="H107" s="2">
        <v>105550</v>
      </c>
      <c r="I107" t="s">
        <v>15</v>
      </c>
      <c r="J107" s="2">
        <v>3</v>
      </c>
      <c r="K107" t="s">
        <v>16</v>
      </c>
      <c r="L107" s="2">
        <v>4</v>
      </c>
      <c r="M107" t="s">
        <v>16</v>
      </c>
      <c r="N107" s="2">
        <v>6</v>
      </c>
    </row>
    <row r="108" spans="1:14">
      <c r="A108" t="s">
        <v>138</v>
      </c>
      <c r="B108" s="1" t="str">
        <f>"51-9011"</f>
        <v>51-9011</v>
      </c>
      <c r="C108" s="1">
        <v>110.3</v>
      </c>
      <c r="D108" s="1">
        <v>104.8</v>
      </c>
      <c r="E108" s="1">
        <v>-5.5</v>
      </c>
      <c r="F108" s="1">
        <v>-5</v>
      </c>
      <c r="G108" s="1">
        <v>10.6</v>
      </c>
      <c r="H108" s="2">
        <v>48090</v>
      </c>
      <c r="I108" t="s">
        <v>25</v>
      </c>
      <c r="J108" s="2">
        <v>7</v>
      </c>
      <c r="K108" t="s">
        <v>16</v>
      </c>
      <c r="L108" s="2">
        <v>4</v>
      </c>
      <c r="M108" t="s">
        <v>26</v>
      </c>
      <c r="N108" s="2">
        <v>4</v>
      </c>
    </row>
    <row r="109" spans="1:14">
      <c r="A109" t="s">
        <v>139</v>
      </c>
      <c r="B109" s="1" t="str">
        <f>"51-8091"</f>
        <v>51-8091</v>
      </c>
      <c r="C109" s="1">
        <v>22.4</v>
      </c>
      <c r="D109" s="1">
        <v>22.1</v>
      </c>
      <c r="E109" s="1">
        <v>-0.2</v>
      </c>
      <c r="F109" s="1">
        <v>-1.1</v>
      </c>
      <c r="G109" s="1">
        <v>2.3</v>
      </c>
      <c r="H109" s="2">
        <v>70200</v>
      </c>
      <c r="I109" t="s">
        <v>25</v>
      </c>
      <c r="J109" s="2">
        <v>7</v>
      </c>
      <c r="K109" t="s">
        <v>16</v>
      </c>
      <c r="L109" s="2">
        <v>4</v>
      </c>
      <c r="M109" t="s">
        <v>26</v>
      </c>
      <c r="N109" s="2">
        <v>4</v>
      </c>
    </row>
    <row r="110" spans="1:14">
      <c r="A110" t="s">
        <v>140</v>
      </c>
      <c r="B110" s="1" t="str">
        <f>"19-4031"</f>
        <v>19-4031</v>
      </c>
      <c r="C110" s="1">
        <v>60.4</v>
      </c>
      <c r="D110" s="1">
        <v>63.1</v>
      </c>
      <c r="E110" s="1">
        <v>2.7</v>
      </c>
      <c r="F110" s="1">
        <v>4.5</v>
      </c>
      <c r="G110" s="1">
        <v>7.8</v>
      </c>
      <c r="H110" s="2">
        <v>48990</v>
      </c>
      <c r="I110" t="s">
        <v>37</v>
      </c>
      <c r="J110" s="2">
        <v>4</v>
      </c>
      <c r="K110" t="s">
        <v>16</v>
      </c>
      <c r="L110" s="2">
        <v>4</v>
      </c>
      <c r="M110" t="s">
        <v>26</v>
      </c>
      <c r="N110" s="2">
        <v>4</v>
      </c>
    </row>
    <row r="111" spans="1:14">
      <c r="A111" t="s">
        <v>141</v>
      </c>
      <c r="B111" s="1" t="str">
        <f>"25-1052"</f>
        <v>25-1052</v>
      </c>
      <c r="C111" s="1">
        <v>25.8</v>
      </c>
      <c r="D111" s="1">
        <v>27.8</v>
      </c>
      <c r="E111" s="1">
        <v>2</v>
      </c>
      <c r="F111" s="1">
        <v>7.7</v>
      </c>
      <c r="G111" s="1">
        <v>2.4</v>
      </c>
      <c r="H111" s="2">
        <v>79410</v>
      </c>
      <c r="I111" t="s">
        <v>28</v>
      </c>
      <c r="J111" s="2">
        <v>1</v>
      </c>
      <c r="K111" t="s">
        <v>16</v>
      </c>
      <c r="L111" s="2">
        <v>4</v>
      </c>
      <c r="M111" t="s">
        <v>16</v>
      </c>
      <c r="N111" s="2">
        <v>6</v>
      </c>
    </row>
    <row r="112" spans="1:14">
      <c r="A112" t="s">
        <v>142</v>
      </c>
      <c r="B112" s="1" t="str">
        <f>"19-2031"</f>
        <v>19-2031</v>
      </c>
      <c r="C112" s="1">
        <v>83.6</v>
      </c>
      <c r="D112" s="1">
        <v>88.9</v>
      </c>
      <c r="E112" s="1">
        <v>5.3</v>
      </c>
      <c r="F112" s="1">
        <v>6.3</v>
      </c>
      <c r="G112" s="1">
        <v>7.6</v>
      </c>
      <c r="H112" s="2">
        <v>79430</v>
      </c>
      <c r="I112" t="s">
        <v>15</v>
      </c>
      <c r="J112" s="2">
        <v>3</v>
      </c>
      <c r="K112" t="s">
        <v>16</v>
      </c>
      <c r="L112" s="2">
        <v>4</v>
      </c>
      <c r="M112" t="s">
        <v>16</v>
      </c>
      <c r="N112" s="2">
        <v>6</v>
      </c>
    </row>
    <row r="113" spans="1:14">
      <c r="A113" t="s">
        <v>143</v>
      </c>
      <c r="B113" s="1" t="str">
        <f>"11-1011"</f>
        <v>11-1011</v>
      </c>
      <c r="C113" s="1">
        <v>283.9</v>
      </c>
      <c r="D113" s="1">
        <v>263.3</v>
      </c>
      <c r="E113" s="1">
        <v>-20.6</v>
      </c>
      <c r="F113" s="1">
        <v>-7.3</v>
      </c>
      <c r="G113" s="1">
        <v>17.7</v>
      </c>
      <c r="H113" s="2">
        <v>179520</v>
      </c>
      <c r="I113" t="s">
        <v>15</v>
      </c>
      <c r="J113" s="2">
        <v>3</v>
      </c>
      <c r="K113" t="s">
        <v>29</v>
      </c>
      <c r="L113" s="2">
        <v>1</v>
      </c>
      <c r="M113" t="s">
        <v>16</v>
      </c>
      <c r="N113" s="2">
        <v>6</v>
      </c>
    </row>
    <row r="114" spans="1:14">
      <c r="A114" t="s">
        <v>144</v>
      </c>
      <c r="B114" s="1" t="str">
        <f>"21-1021"</f>
        <v>21-1021</v>
      </c>
      <c r="C114" s="1">
        <v>349.8</v>
      </c>
      <c r="D114" s="1">
        <v>378.9</v>
      </c>
      <c r="E114" s="1">
        <v>29.1</v>
      </c>
      <c r="F114" s="1">
        <v>8.3</v>
      </c>
      <c r="G114" s="1">
        <v>36.6</v>
      </c>
      <c r="H114" s="2">
        <v>49150</v>
      </c>
      <c r="I114" t="s">
        <v>15</v>
      </c>
      <c r="J114" s="2">
        <v>3</v>
      </c>
      <c r="K114" t="s">
        <v>16</v>
      </c>
      <c r="L114" s="2">
        <v>4</v>
      </c>
      <c r="M114" t="s">
        <v>16</v>
      </c>
      <c r="N114" s="2">
        <v>6</v>
      </c>
    </row>
    <row r="115" spans="1:14">
      <c r="A115" t="s">
        <v>145</v>
      </c>
      <c r="B115" s="1" t="str">
        <f>"39-9011"</f>
        <v>39-9011</v>
      </c>
      <c r="C115" s="1">
        <v>949</v>
      </c>
      <c r="D115" s="1">
        <v>1010.6</v>
      </c>
      <c r="E115" s="1">
        <v>61.6</v>
      </c>
      <c r="F115" s="1">
        <v>6.5</v>
      </c>
      <c r="G115" s="1">
        <v>170.1</v>
      </c>
      <c r="H115" s="2">
        <v>27490</v>
      </c>
      <c r="I115" t="s">
        <v>25</v>
      </c>
      <c r="J115" s="2">
        <v>7</v>
      </c>
      <c r="K115" t="s">
        <v>16</v>
      </c>
      <c r="L115" s="2">
        <v>4</v>
      </c>
      <c r="M115" t="s">
        <v>30</v>
      </c>
      <c r="N115" s="2">
        <v>5</v>
      </c>
    </row>
    <row r="116" spans="1:14">
      <c r="A116" t="s">
        <v>146</v>
      </c>
      <c r="B116" s="1" t="str">
        <f>"29-1011"</f>
        <v>29-1011</v>
      </c>
      <c r="C116" s="1">
        <v>53.2</v>
      </c>
      <c r="D116" s="1">
        <v>58.7</v>
      </c>
      <c r="E116" s="1">
        <v>5.5</v>
      </c>
      <c r="F116" s="1">
        <v>10.4</v>
      </c>
      <c r="G116" s="1">
        <v>2.1</v>
      </c>
      <c r="H116" s="2">
        <v>75000</v>
      </c>
      <c r="I116" t="s">
        <v>28</v>
      </c>
      <c r="J116" s="2">
        <v>1</v>
      </c>
      <c r="K116" t="s">
        <v>16</v>
      </c>
      <c r="L116" s="2">
        <v>4</v>
      </c>
      <c r="M116" t="s">
        <v>16</v>
      </c>
      <c r="N116" s="2">
        <v>6</v>
      </c>
    </row>
    <row r="117" spans="1:14">
      <c r="A117" t="s">
        <v>147</v>
      </c>
      <c r="B117" s="1" t="str">
        <f>"27-2032"</f>
        <v>27-2032</v>
      </c>
      <c r="C117" s="1">
        <v>6.3</v>
      </c>
      <c r="D117" s="1">
        <v>8.1</v>
      </c>
      <c r="E117" s="1">
        <v>1.9</v>
      </c>
      <c r="F117" s="1">
        <v>29.7</v>
      </c>
      <c r="G117" s="1">
        <v>1.4</v>
      </c>
      <c r="H117" s="2">
        <v>42700</v>
      </c>
      <c r="I117" t="s">
        <v>25</v>
      </c>
      <c r="J117" s="2">
        <v>7</v>
      </c>
      <c r="K117" t="s">
        <v>29</v>
      </c>
      <c r="L117" s="2">
        <v>1</v>
      </c>
      <c r="M117" t="s">
        <v>20</v>
      </c>
      <c r="N117" s="2">
        <v>3</v>
      </c>
    </row>
    <row r="118" spans="1:14">
      <c r="A118" t="s">
        <v>148</v>
      </c>
      <c r="B118" s="1" t="str">
        <f>"17-3022"</f>
        <v>17-3022</v>
      </c>
      <c r="C118" s="1">
        <v>66.3</v>
      </c>
      <c r="D118" s="1">
        <v>66.1</v>
      </c>
      <c r="E118" s="1">
        <v>-0.1</v>
      </c>
      <c r="F118" s="1">
        <v>-0.2</v>
      </c>
      <c r="G118" s="1">
        <v>6.5</v>
      </c>
      <c r="H118" s="2">
        <v>58320</v>
      </c>
      <c r="I118" t="s">
        <v>37</v>
      </c>
      <c r="J118" s="2">
        <v>4</v>
      </c>
      <c r="K118" t="s">
        <v>16</v>
      </c>
      <c r="L118" s="2">
        <v>4</v>
      </c>
      <c r="M118" t="s">
        <v>16</v>
      </c>
      <c r="N118" s="2">
        <v>6</v>
      </c>
    </row>
    <row r="119" spans="1:14">
      <c r="A119" t="s">
        <v>149</v>
      </c>
      <c r="B119" s="1" t="str">
        <f>"17-2051"</f>
        <v>17-2051</v>
      </c>
      <c r="C119" s="1">
        <v>318.3</v>
      </c>
      <c r="D119" s="1">
        <v>340.4</v>
      </c>
      <c r="E119" s="1">
        <v>22.1</v>
      </c>
      <c r="F119" s="1">
        <v>6.9</v>
      </c>
      <c r="G119" s="1">
        <v>24.2</v>
      </c>
      <c r="H119" s="2">
        <v>88050</v>
      </c>
      <c r="I119" t="s">
        <v>15</v>
      </c>
      <c r="J119" s="2">
        <v>3</v>
      </c>
      <c r="K119" t="s">
        <v>16</v>
      </c>
      <c r="L119" s="2">
        <v>4</v>
      </c>
      <c r="M119" t="s">
        <v>16</v>
      </c>
      <c r="N119" s="2">
        <v>6</v>
      </c>
    </row>
    <row r="120" spans="1:14">
      <c r="A120" t="s">
        <v>150</v>
      </c>
      <c r="B120" s="1" t="str">
        <f>"13-1031"</f>
        <v>13-1031</v>
      </c>
      <c r="C120" s="1">
        <v>314.3</v>
      </c>
      <c r="D120" s="1">
        <v>295.9</v>
      </c>
      <c r="E120" s="1">
        <v>-18.3</v>
      </c>
      <c r="F120" s="1">
        <v>-5.8</v>
      </c>
      <c r="G120" s="1">
        <v>22.3</v>
      </c>
      <c r="H120" s="2">
        <v>65080</v>
      </c>
      <c r="I120" t="s">
        <v>25</v>
      </c>
      <c r="J120" s="2">
        <v>7</v>
      </c>
      <c r="K120" t="s">
        <v>16</v>
      </c>
      <c r="L120" s="2">
        <v>4</v>
      </c>
      <c r="M120" t="s">
        <v>20</v>
      </c>
      <c r="N120" s="2">
        <v>3</v>
      </c>
    </row>
    <row r="121" spans="1:14">
      <c r="A121" t="s">
        <v>151</v>
      </c>
      <c r="B121" s="1" t="str">
        <f>"53-7061"</f>
        <v>53-7061</v>
      </c>
      <c r="C121" s="1">
        <v>391.7</v>
      </c>
      <c r="D121" s="1">
        <v>414.3</v>
      </c>
      <c r="E121" s="1">
        <v>22.7</v>
      </c>
      <c r="F121" s="1">
        <v>5.8</v>
      </c>
      <c r="G121" s="1">
        <v>59.9</v>
      </c>
      <c r="H121" s="2">
        <v>29280</v>
      </c>
      <c r="I121" t="s">
        <v>42</v>
      </c>
      <c r="J121" s="2">
        <v>8</v>
      </c>
      <c r="K121" t="s">
        <v>16</v>
      </c>
      <c r="L121" s="2">
        <v>4</v>
      </c>
      <c r="M121" t="s">
        <v>30</v>
      </c>
      <c r="N121" s="2">
        <v>5</v>
      </c>
    </row>
    <row r="122" spans="1:14">
      <c r="A122" t="s">
        <v>152</v>
      </c>
      <c r="B122" s="1" t="str">
        <f>"51-9192"</f>
        <v>51-9192</v>
      </c>
      <c r="C122" s="1">
        <v>14.5</v>
      </c>
      <c r="D122" s="1">
        <v>15.5</v>
      </c>
      <c r="E122" s="1">
        <v>1</v>
      </c>
      <c r="F122" s="1">
        <v>6.8</v>
      </c>
      <c r="G122" s="1">
        <v>1.8</v>
      </c>
      <c r="H122" s="2">
        <v>35090</v>
      </c>
      <c r="I122" t="s">
        <v>25</v>
      </c>
      <c r="J122" s="2">
        <v>7</v>
      </c>
      <c r="K122" t="s">
        <v>16</v>
      </c>
      <c r="L122" s="2">
        <v>4</v>
      </c>
      <c r="M122" t="s">
        <v>26</v>
      </c>
      <c r="N122" s="2">
        <v>4</v>
      </c>
    </row>
    <row r="123" spans="1:14">
      <c r="A123" t="s">
        <v>153</v>
      </c>
      <c r="B123" s="1" t="str">
        <f>"21-2011"</f>
        <v>21-2011</v>
      </c>
      <c r="C123" s="1">
        <v>245.4</v>
      </c>
      <c r="D123" s="1">
        <v>255.8</v>
      </c>
      <c r="E123" s="1">
        <v>10.5</v>
      </c>
      <c r="F123" s="1">
        <v>4.3</v>
      </c>
      <c r="G123" s="1">
        <v>24.4</v>
      </c>
      <c r="H123" s="2">
        <v>49720</v>
      </c>
      <c r="I123" t="s">
        <v>15</v>
      </c>
      <c r="J123" s="2">
        <v>3</v>
      </c>
      <c r="K123" t="s">
        <v>16</v>
      </c>
      <c r="L123" s="2">
        <v>4</v>
      </c>
      <c r="M123" t="s">
        <v>26</v>
      </c>
      <c r="N123" s="2">
        <v>4</v>
      </c>
    </row>
    <row r="124" spans="1:14">
      <c r="A124" t="s">
        <v>154</v>
      </c>
      <c r="B124" s="1" t="str">
        <f>"19-3033"</f>
        <v>19-3033</v>
      </c>
      <c r="C124" s="1">
        <v>65.4</v>
      </c>
      <c r="D124" s="1">
        <v>71.9</v>
      </c>
      <c r="E124" s="1">
        <v>6.5</v>
      </c>
      <c r="F124" s="1">
        <v>9.9</v>
      </c>
      <c r="G124" s="1">
        <v>5.1</v>
      </c>
      <c r="H124" s="2">
        <v>82510</v>
      </c>
      <c r="I124" t="s">
        <v>28</v>
      </c>
      <c r="J124" s="2">
        <v>1</v>
      </c>
      <c r="K124" t="s">
        <v>16</v>
      </c>
      <c r="L124" s="2">
        <v>4</v>
      </c>
      <c r="M124" t="s">
        <v>59</v>
      </c>
      <c r="N124" s="2">
        <v>1</v>
      </c>
    </row>
    <row r="125" spans="1:14">
      <c r="A125" t="s">
        <v>155</v>
      </c>
      <c r="B125" s="1" t="str">
        <f>"29-2010"</f>
        <v>29-2010</v>
      </c>
      <c r="C125" s="1">
        <v>329.2</v>
      </c>
      <c r="D125" s="1">
        <v>351</v>
      </c>
      <c r="E125" s="1">
        <v>21.8</v>
      </c>
      <c r="F125" s="1">
        <v>6.6</v>
      </c>
      <c r="G125" s="1">
        <v>25.6</v>
      </c>
      <c r="H125" s="2">
        <v>57800</v>
      </c>
      <c r="I125" t="s">
        <v>15</v>
      </c>
      <c r="J125" s="2">
        <v>3</v>
      </c>
      <c r="K125" t="s">
        <v>16</v>
      </c>
      <c r="L125" s="2">
        <v>4</v>
      </c>
      <c r="M125" t="s">
        <v>16</v>
      </c>
      <c r="N125" s="2">
        <v>6</v>
      </c>
    </row>
    <row r="126" spans="1:14">
      <c r="A126" t="s">
        <v>156</v>
      </c>
      <c r="B126" s="1" t="str">
        <f>"27-2022"</f>
        <v>27-2022</v>
      </c>
      <c r="C126" s="1">
        <v>244.3</v>
      </c>
      <c r="D126" s="1">
        <v>293.1</v>
      </c>
      <c r="E126" s="1">
        <v>48.8</v>
      </c>
      <c r="F126" s="1">
        <v>20</v>
      </c>
      <c r="G126" s="1">
        <v>39.9</v>
      </c>
      <c r="H126" s="2">
        <v>38970</v>
      </c>
      <c r="I126" t="s">
        <v>15</v>
      </c>
      <c r="J126" s="2">
        <v>3</v>
      </c>
      <c r="K126" t="s">
        <v>16</v>
      </c>
      <c r="L126" s="2">
        <v>4</v>
      </c>
      <c r="M126" t="s">
        <v>16</v>
      </c>
      <c r="N126" s="2">
        <v>6</v>
      </c>
    </row>
    <row r="127" spans="1:14">
      <c r="A127" t="s">
        <v>157</v>
      </c>
      <c r="B127" s="1" t="str">
        <f>"51-9124"</f>
        <v>51-9124</v>
      </c>
      <c r="C127" s="1">
        <v>160</v>
      </c>
      <c r="D127" s="1">
        <v>164.4</v>
      </c>
      <c r="E127" s="1">
        <v>4.4</v>
      </c>
      <c r="F127" s="1">
        <v>2.8</v>
      </c>
      <c r="G127" s="1">
        <v>16.6</v>
      </c>
      <c r="H127" s="2">
        <v>39130</v>
      </c>
      <c r="I127" t="s">
        <v>25</v>
      </c>
      <c r="J127" s="2">
        <v>7</v>
      </c>
      <c r="K127" t="s">
        <v>16</v>
      </c>
      <c r="L127" s="2">
        <v>4</v>
      </c>
      <c r="M127" t="s">
        <v>26</v>
      </c>
      <c r="N127" s="2">
        <v>4</v>
      </c>
    </row>
    <row r="128" spans="1:14">
      <c r="A128" t="s">
        <v>158</v>
      </c>
      <c r="B128" s="1" t="str">
        <f>"51-2021"</f>
        <v>51-2021</v>
      </c>
      <c r="C128" s="1">
        <v>11.4</v>
      </c>
      <c r="D128" s="1">
        <v>9.3</v>
      </c>
      <c r="E128" s="1">
        <v>-2</v>
      </c>
      <c r="F128" s="1">
        <v>-17.9</v>
      </c>
      <c r="G128" s="1">
        <v>1</v>
      </c>
      <c r="H128" s="2">
        <v>38360</v>
      </c>
      <c r="I128" t="s">
        <v>25</v>
      </c>
      <c r="J128" s="2">
        <v>7</v>
      </c>
      <c r="K128" t="s">
        <v>16</v>
      </c>
      <c r="L128" s="2">
        <v>4</v>
      </c>
      <c r="M128" t="s">
        <v>26</v>
      </c>
      <c r="N128" s="2">
        <v>4</v>
      </c>
    </row>
    <row r="129" spans="1:14">
      <c r="A129" t="s">
        <v>159</v>
      </c>
      <c r="B129" s="1" t="str">
        <f>"49-9091"</f>
        <v>49-9091</v>
      </c>
      <c r="C129" s="1">
        <v>30.6</v>
      </c>
      <c r="D129" s="1">
        <v>32</v>
      </c>
      <c r="E129" s="1">
        <v>1.5</v>
      </c>
      <c r="F129" s="1">
        <v>4.9</v>
      </c>
      <c r="G129" s="1">
        <v>3.9</v>
      </c>
      <c r="H129" s="2">
        <v>39040</v>
      </c>
      <c r="I129" t="s">
        <v>25</v>
      </c>
      <c r="J129" s="2">
        <v>7</v>
      </c>
      <c r="K129" t="s">
        <v>16</v>
      </c>
      <c r="L129" s="2">
        <v>4</v>
      </c>
      <c r="M129" t="s">
        <v>30</v>
      </c>
      <c r="N129" s="2">
        <v>5</v>
      </c>
    </row>
    <row r="130" spans="1:14">
      <c r="A130" t="s">
        <v>160</v>
      </c>
      <c r="B130" s="1" t="str">
        <f>"27-1021"</f>
        <v>27-1021</v>
      </c>
      <c r="C130" s="1">
        <v>29.3</v>
      </c>
      <c r="D130" s="1">
        <v>30.3</v>
      </c>
      <c r="E130" s="1">
        <v>0.9</v>
      </c>
      <c r="F130" s="1">
        <v>3.2</v>
      </c>
      <c r="G130" s="1">
        <v>2.7</v>
      </c>
      <c r="H130" s="2">
        <v>77030</v>
      </c>
      <c r="I130" t="s">
        <v>15</v>
      </c>
      <c r="J130" s="2">
        <v>3</v>
      </c>
      <c r="K130" t="s">
        <v>16</v>
      </c>
      <c r="L130" s="2">
        <v>4</v>
      </c>
      <c r="M130" t="s">
        <v>16</v>
      </c>
      <c r="N130" s="2">
        <v>6</v>
      </c>
    </row>
    <row r="131" spans="1:14">
      <c r="A131" t="s">
        <v>161</v>
      </c>
      <c r="B131" s="1" t="str">
        <f>"49-9092"</f>
        <v>49-9092</v>
      </c>
      <c r="C131" s="1">
        <v>3</v>
      </c>
      <c r="D131" s="1">
        <v>3.4</v>
      </c>
      <c r="E131" s="1">
        <v>0.4</v>
      </c>
      <c r="F131" s="1">
        <v>14.7</v>
      </c>
      <c r="G131" s="1">
        <v>0.4</v>
      </c>
      <c r="H131" s="2">
        <v>60360</v>
      </c>
      <c r="I131" t="s">
        <v>50</v>
      </c>
      <c r="J131" s="2">
        <v>5</v>
      </c>
      <c r="K131" t="s">
        <v>16</v>
      </c>
      <c r="L131" s="2">
        <v>4</v>
      </c>
      <c r="M131" t="s">
        <v>26</v>
      </c>
      <c r="N131" s="2">
        <v>4</v>
      </c>
    </row>
    <row r="132" spans="1:14">
      <c r="A132" t="s">
        <v>162</v>
      </c>
      <c r="B132" s="1" t="str">
        <f>"53-2012"</f>
        <v>53-2012</v>
      </c>
      <c r="C132" s="1">
        <v>47.7</v>
      </c>
      <c r="D132" s="1">
        <v>50.1</v>
      </c>
      <c r="E132" s="1">
        <v>2.4</v>
      </c>
      <c r="F132" s="1">
        <v>5.1</v>
      </c>
      <c r="G132" s="1">
        <v>6.3</v>
      </c>
      <c r="H132" s="2">
        <v>99640</v>
      </c>
      <c r="I132" t="s">
        <v>50</v>
      </c>
      <c r="J132" s="2">
        <v>5</v>
      </c>
      <c r="K132" t="s">
        <v>16</v>
      </c>
      <c r="L132" s="2">
        <v>4</v>
      </c>
      <c r="M132" t="s">
        <v>26</v>
      </c>
      <c r="N132" s="2">
        <v>4</v>
      </c>
    </row>
    <row r="133" spans="1:14">
      <c r="A133" t="s">
        <v>163</v>
      </c>
      <c r="B133" s="1" t="str">
        <f>"43-2099"</f>
        <v>43-2099</v>
      </c>
      <c r="C133" s="1">
        <v>1.6</v>
      </c>
      <c r="D133" s="1">
        <v>1.7</v>
      </c>
      <c r="E133" s="1">
        <v>0.1</v>
      </c>
      <c r="F133" s="1">
        <v>3.3</v>
      </c>
      <c r="G133" s="1">
        <v>0.2</v>
      </c>
      <c r="H133" s="2">
        <v>47000</v>
      </c>
      <c r="I133" t="s">
        <v>25</v>
      </c>
      <c r="J133" s="2">
        <v>7</v>
      </c>
      <c r="K133" t="s">
        <v>16</v>
      </c>
      <c r="L133" s="2">
        <v>4</v>
      </c>
      <c r="M133" t="s">
        <v>30</v>
      </c>
      <c r="N133" s="2">
        <v>5</v>
      </c>
    </row>
    <row r="134" spans="1:14">
      <c r="A134" t="s">
        <v>164</v>
      </c>
      <c r="B134" s="1" t="str">
        <f>"25-1122"</f>
        <v>25-1122</v>
      </c>
      <c r="C134" s="1">
        <v>34.4</v>
      </c>
      <c r="D134" s="1">
        <v>36.9</v>
      </c>
      <c r="E134" s="1">
        <v>2.5</v>
      </c>
      <c r="F134" s="1">
        <v>7.3</v>
      </c>
      <c r="G134" s="1">
        <v>3.2</v>
      </c>
      <c r="H134" s="2">
        <v>77560</v>
      </c>
      <c r="I134" t="s">
        <v>28</v>
      </c>
      <c r="J134" s="2">
        <v>1</v>
      </c>
      <c r="K134" t="s">
        <v>16</v>
      </c>
      <c r="L134" s="2">
        <v>4</v>
      </c>
      <c r="M134" t="s">
        <v>16</v>
      </c>
      <c r="N134" s="2">
        <v>6</v>
      </c>
    </row>
    <row r="135" spans="1:14">
      <c r="A135" t="s">
        <v>165</v>
      </c>
      <c r="B135" s="1" t="str">
        <f>"21-1099"</f>
        <v>21-1099</v>
      </c>
      <c r="C135" s="1">
        <v>97.6</v>
      </c>
      <c r="D135" s="1">
        <v>105.9</v>
      </c>
      <c r="E135" s="1">
        <v>8.3</v>
      </c>
      <c r="F135" s="1">
        <v>8.5</v>
      </c>
      <c r="G135" s="1">
        <v>11.8</v>
      </c>
      <c r="H135" s="2">
        <v>47390</v>
      </c>
      <c r="I135" t="s">
        <v>15</v>
      </c>
      <c r="J135" s="2">
        <v>3</v>
      </c>
      <c r="K135" t="s">
        <v>16</v>
      </c>
      <c r="L135" s="2">
        <v>4</v>
      </c>
      <c r="M135" t="s">
        <v>16</v>
      </c>
      <c r="N135" s="2">
        <v>6</v>
      </c>
    </row>
    <row r="136" spans="1:14">
      <c r="A136" t="s">
        <v>166</v>
      </c>
      <c r="B136" s="1" t="str">
        <f>"21-1094"</f>
        <v>21-1094</v>
      </c>
      <c r="C136" s="1">
        <v>67</v>
      </c>
      <c r="D136" s="1">
        <v>77.7</v>
      </c>
      <c r="E136" s="1">
        <v>10.6</v>
      </c>
      <c r="F136" s="1">
        <v>15.9</v>
      </c>
      <c r="G136" s="1">
        <v>8.8</v>
      </c>
      <c r="H136" s="2">
        <v>46590</v>
      </c>
      <c r="I136" t="s">
        <v>25</v>
      </c>
      <c r="J136" s="2">
        <v>7</v>
      </c>
      <c r="K136" t="s">
        <v>16</v>
      </c>
      <c r="L136" s="2">
        <v>4</v>
      </c>
      <c r="M136" t="s">
        <v>30</v>
      </c>
      <c r="N136" s="2">
        <v>5</v>
      </c>
    </row>
    <row r="137" spans="1:14">
      <c r="A137" t="s">
        <v>167</v>
      </c>
      <c r="B137" s="1" t="str">
        <f>"11-3111"</f>
        <v>11-3111</v>
      </c>
      <c r="C137" s="1">
        <v>15.7</v>
      </c>
      <c r="D137" s="1">
        <v>15.9</v>
      </c>
      <c r="E137" s="1">
        <v>0.2</v>
      </c>
      <c r="F137" s="1">
        <v>1.5</v>
      </c>
      <c r="G137" s="1">
        <v>1.2</v>
      </c>
      <c r="H137" s="2">
        <v>127530</v>
      </c>
      <c r="I137" t="s">
        <v>15</v>
      </c>
      <c r="J137" s="2">
        <v>3</v>
      </c>
      <c r="K137" t="s">
        <v>29</v>
      </c>
      <c r="L137" s="2">
        <v>1</v>
      </c>
      <c r="M137" t="s">
        <v>16</v>
      </c>
      <c r="N137" s="2">
        <v>6</v>
      </c>
    </row>
    <row r="138" spans="1:14">
      <c r="A138" t="s">
        <v>168</v>
      </c>
      <c r="B138" s="1" t="str">
        <f>"13-1141"</f>
        <v>13-1141</v>
      </c>
      <c r="C138" s="1">
        <v>100.6</v>
      </c>
      <c r="D138" s="1">
        <v>107.2</v>
      </c>
      <c r="E138" s="1">
        <v>6.6</v>
      </c>
      <c r="F138" s="1">
        <v>6.6</v>
      </c>
      <c r="G138" s="1">
        <v>9.3</v>
      </c>
      <c r="H138" s="2">
        <v>64120</v>
      </c>
      <c r="I138" t="s">
        <v>15</v>
      </c>
      <c r="J138" s="2">
        <v>3</v>
      </c>
      <c r="K138" t="s">
        <v>32</v>
      </c>
      <c r="L138" s="2">
        <v>2</v>
      </c>
      <c r="M138" t="s">
        <v>16</v>
      </c>
      <c r="N138" s="2">
        <v>6</v>
      </c>
    </row>
    <row r="139" spans="1:14">
      <c r="A139" t="s">
        <v>169</v>
      </c>
      <c r="B139" s="1" t="str">
        <f>"13-1041"</f>
        <v>13-1041</v>
      </c>
      <c r="C139" s="1">
        <v>354</v>
      </c>
      <c r="D139" s="1">
        <v>369.1</v>
      </c>
      <c r="E139" s="1">
        <v>15.1</v>
      </c>
      <c r="F139" s="1">
        <v>4.3</v>
      </c>
      <c r="G139" s="1">
        <v>30.2</v>
      </c>
      <c r="H139" s="2">
        <v>71650</v>
      </c>
      <c r="I139" t="s">
        <v>15</v>
      </c>
      <c r="J139" s="2">
        <v>3</v>
      </c>
      <c r="K139" t="s">
        <v>16</v>
      </c>
      <c r="L139" s="2">
        <v>4</v>
      </c>
      <c r="M139" t="s">
        <v>26</v>
      </c>
      <c r="N139" s="2">
        <v>4</v>
      </c>
    </row>
    <row r="140" spans="1:14">
      <c r="A140" t="s">
        <v>170</v>
      </c>
      <c r="B140" s="1" t="str">
        <f>"15-1221"</f>
        <v>15-1221</v>
      </c>
      <c r="C140" s="1">
        <v>33.5</v>
      </c>
      <c r="D140" s="1">
        <v>40.6</v>
      </c>
      <c r="E140" s="1">
        <v>7.1</v>
      </c>
      <c r="F140" s="1">
        <v>21.3</v>
      </c>
      <c r="G140" s="1">
        <v>3.3</v>
      </c>
      <c r="H140" s="2">
        <v>131490</v>
      </c>
      <c r="I140" t="s">
        <v>23</v>
      </c>
      <c r="J140" s="2">
        <v>2</v>
      </c>
      <c r="K140" t="s">
        <v>16</v>
      </c>
      <c r="L140" s="2">
        <v>4</v>
      </c>
      <c r="M140" t="s">
        <v>16</v>
      </c>
      <c r="N140" s="2">
        <v>6</v>
      </c>
    </row>
    <row r="141" spans="1:14">
      <c r="A141" t="s">
        <v>171</v>
      </c>
      <c r="B141" s="1" t="str">
        <f>"11-3021"</f>
        <v>11-3021</v>
      </c>
      <c r="C141" s="1">
        <v>509.1</v>
      </c>
      <c r="D141" s="1">
        <v>591.5</v>
      </c>
      <c r="E141" s="1">
        <v>82.4</v>
      </c>
      <c r="F141" s="1">
        <v>16.2</v>
      </c>
      <c r="G141" s="1">
        <v>48.5</v>
      </c>
      <c r="H141" s="2">
        <v>159010</v>
      </c>
      <c r="I141" t="s">
        <v>15</v>
      </c>
      <c r="J141" s="2">
        <v>3</v>
      </c>
      <c r="K141" t="s">
        <v>29</v>
      </c>
      <c r="L141" s="2">
        <v>1</v>
      </c>
      <c r="M141" t="s">
        <v>16</v>
      </c>
      <c r="N141" s="2">
        <v>6</v>
      </c>
    </row>
    <row r="142" spans="1:14">
      <c r="A142" t="s">
        <v>172</v>
      </c>
      <c r="B142" s="1" t="str">
        <f>"17-2061"</f>
        <v>17-2061</v>
      </c>
      <c r="C142" s="1">
        <v>76.9</v>
      </c>
      <c r="D142" s="1">
        <v>80.6</v>
      </c>
      <c r="E142" s="1">
        <v>3.7</v>
      </c>
      <c r="F142" s="1">
        <v>4.8</v>
      </c>
      <c r="G142" s="1">
        <v>5.3</v>
      </c>
      <c r="H142" s="2">
        <v>128170</v>
      </c>
      <c r="I142" t="s">
        <v>15</v>
      </c>
      <c r="J142" s="2">
        <v>3</v>
      </c>
      <c r="K142" t="s">
        <v>16</v>
      </c>
      <c r="L142" s="2">
        <v>4</v>
      </c>
      <c r="M142" t="s">
        <v>16</v>
      </c>
      <c r="N142" s="2">
        <v>6</v>
      </c>
    </row>
    <row r="143" spans="1:14">
      <c r="A143" t="s">
        <v>173</v>
      </c>
      <c r="B143" s="1" t="str">
        <f>"15-1241"</f>
        <v>15-1241</v>
      </c>
      <c r="C143" s="1">
        <v>174.8</v>
      </c>
      <c r="D143" s="1">
        <v>182.3</v>
      </c>
      <c r="E143" s="1">
        <v>7.5</v>
      </c>
      <c r="F143" s="1">
        <v>4.3</v>
      </c>
      <c r="G143" s="1">
        <v>11.8</v>
      </c>
      <c r="H143" s="2">
        <v>120520</v>
      </c>
      <c r="I143" t="s">
        <v>15</v>
      </c>
      <c r="J143" s="2">
        <v>3</v>
      </c>
      <c r="K143" t="s">
        <v>29</v>
      </c>
      <c r="L143" s="2">
        <v>1</v>
      </c>
      <c r="M143" t="s">
        <v>16</v>
      </c>
      <c r="N143" s="2">
        <v>6</v>
      </c>
    </row>
    <row r="144" spans="1:14">
      <c r="A144" t="s">
        <v>174</v>
      </c>
      <c r="B144" s="1" t="str">
        <f>"15-1231"</f>
        <v>15-1231</v>
      </c>
      <c r="C144" s="1">
        <v>185.5</v>
      </c>
      <c r="D144" s="1">
        <v>199.2</v>
      </c>
      <c r="E144" s="1">
        <v>13.8</v>
      </c>
      <c r="F144" s="1">
        <v>7.4</v>
      </c>
      <c r="G144" s="1">
        <v>16.1</v>
      </c>
      <c r="H144" s="2">
        <v>62760</v>
      </c>
      <c r="I144" t="s">
        <v>37</v>
      </c>
      <c r="J144" s="2">
        <v>4</v>
      </c>
      <c r="K144" t="s">
        <v>16</v>
      </c>
      <c r="L144" s="2">
        <v>4</v>
      </c>
      <c r="M144" t="s">
        <v>26</v>
      </c>
      <c r="N144" s="2">
        <v>4</v>
      </c>
    </row>
    <row r="145" spans="1:14">
      <c r="A145" t="s">
        <v>175</v>
      </c>
      <c r="B145" s="1" t="str">
        <f>"51-9161"</f>
        <v>51-9161</v>
      </c>
      <c r="C145" s="1">
        <v>160.4</v>
      </c>
      <c r="D145" s="1">
        <v>147.6</v>
      </c>
      <c r="E145" s="1">
        <v>-12.8</v>
      </c>
      <c r="F145" s="1">
        <v>-8</v>
      </c>
      <c r="G145" s="1">
        <v>14.7</v>
      </c>
      <c r="H145" s="2">
        <v>46640</v>
      </c>
      <c r="I145" t="s">
        <v>25</v>
      </c>
      <c r="J145" s="2">
        <v>7</v>
      </c>
      <c r="K145" t="s">
        <v>16</v>
      </c>
      <c r="L145" s="2">
        <v>4</v>
      </c>
      <c r="M145" t="s">
        <v>26</v>
      </c>
      <c r="N145" s="2">
        <v>4</v>
      </c>
    </row>
    <row r="146" spans="1:14">
      <c r="A146" t="s">
        <v>176</v>
      </c>
      <c r="B146" s="1" t="str">
        <f>"51-9162"</f>
        <v>51-9162</v>
      </c>
      <c r="C146" s="1">
        <v>26.2</v>
      </c>
      <c r="D146" s="1">
        <v>31.8</v>
      </c>
      <c r="E146" s="1">
        <v>5.5</v>
      </c>
      <c r="F146" s="1">
        <v>21.1</v>
      </c>
      <c r="G146" s="1">
        <v>3.6</v>
      </c>
      <c r="H146" s="2">
        <v>60780</v>
      </c>
      <c r="I146" t="s">
        <v>50</v>
      </c>
      <c r="J146" s="2">
        <v>5</v>
      </c>
      <c r="K146" t="s">
        <v>16</v>
      </c>
      <c r="L146" s="2">
        <v>4</v>
      </c>
      <c r="M146" t="s">
        <v>26</v>
      </c>
      <c r="N146" s="2">
        <v>4</v>
      </c>
    </row>
    <row r="147" spans="1:14">
      <c r="A147" t="s">
        <v>177</v>
      </c>
      <c r="B147" s="1" t="str">
        <f>"15-1299"</f>
        <v>15-1299</v>
      </c>
      <c r="C147" s="1">
        <v>408.2</v>
      </c>
      <c r="D147" s="1">
        <v>449.2</v>
      </c>
      <c r="E147" s="1">
        <v>41.1</v>
      </c>
      <c r="F147" s="1">
        <v>10.1</v>
      </c>
      <c r="G147" s="1">
        <v>34.7</v>
      </c>
      <c r="H147" s="2">
        <v>95270</v>
      </c>
      <c r="I147" t="s">
        <v>15</v>
      </c>
      <c r="J147" s="2">
        <v>3</v>
      </c>
      <c r="K147" t="s">
        <v>16</v>
      </c>
      <c r="L147" s="2">
        <v>4</v>
      </c>
      <c r="M147" t="s">
        <v>16</v>
      </c>
      <c r="N147" s="2">
        <v>6</v>
      </c>
    </row>
    <row r="148" spans="1:14">
      <c r="A148" t="s">
        <v>178</v>
      </c>
      <c r="B148" s="1" t="str">
        <f>"15-1251"</f>
        <v>15-1251</v>
      </c>
      <c r="C148" s="1">
        <v>174.4</v>
      </c>
      <c r="D148" s="1">
        <v>156.6</v>
      </c>
      <c r="E148" s="1">
        <v>-17.8</v>
      </c>
      <c r="F148" s="1">
        <v>-10.2</v>
      </c>
      <c r="G148" s="1">
        <v>9.6</v>
      </c>
      <c r="H148" s="2">
        <v>93000</v>
      </c>
      <c r="I148" t="s">
        <v>15</v>
      </c>
      <c r="J148" s="2">
        <v>3</v>
      </c>
      <c r="K148" t="s">
        <v>16</v>
      </c>
      <c r="L148" s="2">
        <v>4</v>
      </c>
      <c r="M148" t="s">
        <v>16</v>
      </c>
      <c r="N148" s="2">
        <v>6</v>
      </c>
    </row>
    <row r="149" spans="1:14">
      <c r="A149" t="s">
        <v>179</v>
      </c>
      <c r="B149" s="1" t="str">
        <f>"25-1021"</f>
        <v>25-1021</v>
      </c>
      <c r="C149" s="1">
        <v>47.8</v>
      </c>
      <c r="D149" s="1">
        <v>51.2</v>
      </c>
      <c r="E149" s="1">
        <v>3.4</v>
      </c>
      <c r="F149" s="1">
        <v>7.2</v>
      </c>
      <c r="G149" s="1">
        <v>4.5</v>
      </c>
      <c r="H149" s="2">
        <v>77910</v>
      </c>
      <c r="I149" t="s">
        <v>28</v>
      </c>
      <c r="J149" s="2">
        <v>1</v>
      </c>
      <c r="K149" t="s">
        <v>16</v>
      </c>
      <c r="L149" s="2">
        <v>4</v>
      </c>
      <c r="M149" t="s">
        <v>16</v>
      </c>
      <c r="N149" s="2">
        <v>6</v>
      </c>
    </row>
    <row r="150" spans="1:14">
      <c r="A150" t="s">
        <v>180</v>
      </c>
      <c r="B150" s="1" t="str">
        <f>"15-1211"</f>
        <v>15-1211</v>
      </c>
      <c r="C150" s="1">
        <v>538.8</v>
      </c>
      <c r="D150" s="1">
        <v>589.7</v>
      </c>
      <c r="E150" s="1">
        <v>50.9</v>
      </c>
      <c r="F150" s="1">
        <v>9.4</v>
      </c>
      <c r="G150" s="1">
        <v>44.5</v>
      </c>
      <c r="H150" s="2">
        <v>99270</v>
      </c>
      <c r="I150" t="s">
        <v>15</v>
      </c>
      <c r="J150" s="2">
        <v>3</v>
      </c>
      <c r="K150" t="s">
        <v>16</v>
      </c>
      <c r="L150" s="2">
        <v>4</v>
      </c>
      <c r="M150" t="s">
        <v>16</v>
      </c>
      <c r="N150" s="2">
        <v>6</v>
      </c>
    </row>
    <row r="151" spans="1:14">
      <c r="A151" t="s">
        <v>181</v>
      </c>
      <c r="B151" s="1" t="str">
        <f>"15-1232"</f>
        <v>15-1232</v>
      </c>
      <c r="C151" s="1">
        <v>690.2</v>
      </c>
      <c r="D151" s="1">
        <v>732.9</v>
      </c>
      <c r="E151" s="1">
        <v>42.7</v>
      </c>
      <c r="F151" s="1">
        <v>6.2</v>
      </c>
      <c r="G151" s="1">
        <v>58.9</v>
      </c>
      <c r="H151" s="2">
        <v>49770</v>
      </c>
      <c r="I151" t="s">
        <v>19</v>
      </c>
      <c r="J151" s="2">
        <v>6</v>
      </c>
      <c r="K151" t="s">
        <v>16</v>
      </c>
      <c r="L151" s="2">
        <v>4</v>
      </c>
      <c r="M151" t="s">
        <v>26</v>
      </c>
      <c r="N151" s="2">
        <v>4</v>
      </c>
    </row>
    <row r="152" spans="1:14">
      <c r="A152" t="s">
        <v>182</v>
      </c>
      <c r="B152" s="1" t="str">
        <f>"49-2011"</f>
        <v>49-2011</v>
      </c>
      <c r="C152" s="1">
        <v>102.1</v>
      </c>
      <c r="D152" s="1">
        <v>98.5</v>
      </c>
      <c r="E152" s="1">
        <v>-3.7</v>
      </c>
      <c r="F152" s="1">
        <v>-3.6</v>
      </c>
      <c r="G152" s="1">
        <v>10.3</v>
      </c>
      <c r="H152" s="2">
        <v>40970</v>
      </c>
      <c r="I152" t="s">
        <v>19</v>
      </c>
      <c r="J152" s="2">
        <v>6</v>
      </c>
      <c r="K152" t="s">
        <v>16</v>
      </c>
      <c r="L152" s="2">
        <v>4</v>
      </c>
      <c r="M152" t="s">
        <v>30</v>
      </c>
      <c r="N152" s="2">
        <v>5</v>
      </c>
    </row>
    <row r="153" spans="1:14">
      <c r="A153" t="s">
        <v>183</v>
      </c>
      <c r="B153" s="1" t="str">
        <f>"39-6012"</f>
        <v>39-6012</v>
      </c>
      <c r="C153" s="1">
        <v>35</v>
      </c>
      <c r="D153" s="1">
        <v>39</v>
      </c>
      <c r="E153" s="1">
        <v>3.9</v>
      </c>
      <c r="F153" s="1">
        <v>11.2</v>
      </c>
      <c r="G153" s="1">
        <v>6.1</v>
      </c>
      <c r="H153" s="2">
        <v>35210</v>
      </c>
      <c r="I153" t="s">
        <v>25</v>
      </c>
      <c r="J153" s="2">
        <v>7</v>
      </c>
      <c r="K153" t="s">
        <v>16</v>
      </c>
      <c r="L153" s="2">
        <v>4</v>
      </c>
      <c r="M153" t="s">
        <v>26</v>
      </c>
      <c r="N153" s="2">
        <v>4</v>
      </c>
    </row>
    <row r="154" spans="1:14">
      <c r="A154" t="s">
        <v>184</v>
      </c>
      <c r="B154" s="1" t="str">
        <f>"19-1031"</f>
        <v>19-1031</v>
      </c>
      <c r="C154" s="1">
        <v>24.6</v>
      </c>
      <c r="D154" s="1">
        <v>25.3</v>
      </c>
      <c r="E154" s="1">
        <v>0.7</v>
      </c>
      <c r="F154" s="1">
        <v>3</v>
      </c>
      <c r="G154" s="1">
        <v>2.3</v>
      </c>
      <c r="H154" s="2">
        <v>63750</v>
      </c>
      <c r="I154" t="s">
        <v>15</v>
      </c>
      <c r="J154" s="2">
        <v>3</v>
      </c>
      <c r="K154" t="s">
        <v>16</v>
      </c>
      <c r="L154" s="2">
        <v>4</v>
      </c>
      <c r="M154" t="s">
        <v>16</v>
      </c>
      <c r="N154" s="2">
        <v>6</v>
      </c>
    </row>
    <row r="155" spans="1:14">
      <c r="A155" t="s">
        <v>185</v>
      </c>
      <c r="B155" s="1" t="str">
        <f>"47-4011"</f>
        <v>47-4011</v>
      </c>
      <c r="C155" s="1">
        <v>129.2</v>
      </c>
      <c r="D155" s="1">
        <v>123.4</v>
      </c>
      <c r="E155" s="1">
        <v>-5.7</v>
      </c>
      <c r="F155" s="1">
        <v>-4.4</v>
      </c>
      <c r="G155" s="1">
        <v>14.8</v>
      </c>
      <c r="H155" s="2">
        <v>61640</v>
      </c>
      <c r="I155" t="s">
        <v>25</v>
      </c>
      <c r="J155" s="2">
        <v>7</v>
      </c>
      <c r="K155" t="s">
        <v>29</v>
      </c>
      <c r="L155" s="2">
        <v>1</v>
      </c>
      <c r="M155" t="s">
        <v>26</v>
      </c>
      <c r="N155" s="2">
        <v>4</v>
      </c>
    </row>
    <row r="156" spans="1:14">
      <c r="A156" t="s">
        <v>186</v>
      </c>
      <c r="B156" s="1" t="str">
        <f>"47-2061"</f>
        <v>47-2061</v>
      </c>
      <c r="C156" s="1">
        <v>1358.4</v>
      </c>
      <c r="D156" s="1">
        <v>1430.3</v>
      </c>
      <c r="E156" s="1">
        <v>71.9</v>
      </c>
      <c r="F156" s="1">
        <v>5.3</v>
      </c>
      <c r="G156" s="1">
        <v>143.2</v>
      </c>
      <c r="H156" s="2">
        <v>37770</v>
      </c>
      <c r="I156" t="s">
        <v>42</v>
      </c>
      <c r="J156" s="2">
        <v>8</v>
      </c>
      <c r="K156" t="s">
        <v>16</v>
      </c>
      <c r="L156" s="2">
        <v>4</v>
      </c>
      <c r="M156" t="s">
        <v>30</v>
      </c>
      <c r="N156" s="2">
        <v>5</v>
      </c>
    </row>
    <row r="157" spans="1:14">
      <c r="A157" t="s">
        <v>187</v>
      </c>
      <c r="B157" s="1" t="str">
        <f>"11-9021"</f>
        <v>11-9021</v>
      </c>
      <c r="C157" s="1">
        <v>478.5</v>
      </c>
      <c r="D157" s="1">
        <v>514.9</v>
      </c>
      <c r="E157" s="1">
        <v>36.4</v>
      </c>
      <c r="F157" s="1">
        <v>7.6</v>
      </c>
      <c r="G157" s="1">
        <v>41.5</v>
      </c>
      <c r="H157" s="2">
        <v>98890</v>
      </c>
      <c r="I157" t="s">
        <v>15</v>
      </c>
      <c r="J157" s="2">
        <v>3</v>
      </c>
      <c r="K157" t="s">
        <v>16</v>
      </c>
      <c r="L157" s="2">
        <v>4</v>
      </c>
      <c r="M157" t="s">
        <v>26</v>
      </c>
      <c r="N157" s="2">
        <v>4</v>
      </c>
    </row>
    <row r="158" spans="1:14">
      <c r="A158" t="s">
        <v>188</v>
      </c>
      <c r="B158" s="1" t="str">
        <f>"47-5041"</f>
        <v>47-5041</v>
      </c>
      <c r="C158" s="1">
        <v>14.9</v>
      </c>
      <c r="D158" s="1">
        <v>15.2</v>
      </c>
      <c r="E158" s="1">
        <v>0.2</v>
      </c>
      <c r="F158" s="1">
        <v>1.6</v>
      </c>
      <c r="G158" s="1">
        <v>1.8</v>
      </c>
      <c r="H158" s="2">
        <v>60300</v>
      </c>
      <c r="I158" t="s">
        <v>42</v>
      </c>
      <c r="J158" s="2">
        <v>8</v>
      </c>
      <c r="K158" t="s">
        <v>16</v>
      </c>
      <c r="L158" s="2">
        <v>4</v>
      </c>
      <c r="M158" t="s">
        <v>26</v>
      </c>
      <c r="N158" s="2">
        <v>4</v>
      </c>
    </row>
    <row r="159" spans="1:14">
      <c r="A159" t="s">
        <v>189</v>
      </c>
      <c r="B159" s="1" t="str">
        <f>"49-9012"</f>
        <v>49-9012</v>
      </c>
      <c r="C159" s="1">
        <v>45.7</v>
      </c>
      <c r="D159" s="1">
        <v>46.1</v>
      </c>
      <c r="E159" s="1">
        <v>0.3</v>
      </c>
      <c r="F159" s="1">
        <v>0.7</v>
      </c>
      <c r="G159" s="1">
        <v>3.6</v>
      </c>
      <c r="H159" s="2">
        <v>62760</v>
      </c>
      <c r="I159" t="s">
        <v>25</v>
      </c>
      <c r="J159" s="2">
        <v>7</v>
      </c>
      <c r="K159" t="s">
        <v>16</v>
      </c>
      <c r="L159" s="2">
        <v>4</v>
      </c>
      <c r="M159" t="s">
        <v>26</v>
      </c>
      <c r="N159" s="2">
        <v>4</v>
      </c>
    </row>
    <row r="160" spans="1:14">
      <c r="A160" t="s">
        <v>190</v>
      </c>
      <c r="B160" s="1" t="str">
        <f>"53-7011"</f>
        <v>53-7011</v>
      </c>
      <c r="C160" s="1">
        <v>34.6</v>
      </c>
      <c r="D160" s="1">
        <v>37</v>
      </c>
      <c r="E160" s="1">
        <v>2.4</v>
      </c>
      <c r="F160" s="1">
        <v>7</v>
      </c>
      <c r="G160" s="1">
        <v>5</v>
      </c>
      <c r="H160" s="2">
        <v>36420</v>
      </c>
      <c r="I160" t="s">
        <v>42</v>
      </c>
      <c r="J160" s="2">
        <v>8</v>
      </c>
      <c r="K160" t="s">
        <v>16</v>
      </c>
      <c r="L160" s="2">
        <v>4</v>
      </c>
      <c r="M160" t="s">
        <v>30</v>
      </c>
      <c r="N160" s="2">
        <v>5</v>
      </c>
    </row>
    <row r="161" spans="1:14">
      <c r="A161" t="s">
        <v>191</v>
      </c>
      <c r="B161" s="1" t="str">
        <f>"35-2019"</f>
        <v>35-2019</v>
      </c>
      <c r="C161" s="1">
        <v>19.5</v>
      </c>
      <c r="D161" s="1">
        <v>21.4</v>
      </c>
      <c r="E161" s="1">
        <v>1.9</v>
      </c>
      <c r="F161" s="1">
        <v>9.7</v>
      </c>
      <c r="G161" s="1">
        <v>3.3</v>
      </c>
      <c r="H161" s="2">
        <v>30720</v>
      </c>
      <c r="I161" t="s">
        <v>42</v>
      </c>
      <c r="J161" s="2">
        <v>8</v>
      </c>
      <c r="K161" t="s">
        <v>16</v>
      </c>
      <c r="L161" s="2">
        <v>4</v>
      </c>
      <c r="M161" t="s">
        <v>26</v>
      </c>
      <c r="N161" s="2">
        <v>4</v>
      </c>
    </row>
    <row r="162" spans="1:14">
      <c r="A162" t="s">
        <v>192</v>
      </c>
      <c r="B162" s="1" t="str">
        <f>"35-2011"</f>
        <v>35-2011</v>
      </c>
      <c r="C162" s="1">
        <v>792.3</v>
      </c>
      <c r="D162" s="1">
        <v>723.2</v>
      </c>
      <c r="E162" s="1">
        <v>-69.1</v>
      </c>
      <c r="F162" s="1">
        <v>-8.7</v>
      </c>
      <c r="G162" s="1">
        <v>109.4</v>
      </c>
      <c r="H162" s="2">
        <v>24180</v>
      </c>
      <c r="I162" t="s">
        <v>42</v>
      </c>
      <c r="J162" s="2">
        <v>8</v>
      </c>
      <c r="K162" t="s">
        <v>16</v>
      </c>
      <c r="L162" s="2">
        <v>4</v>
      </c>
      <c r="M162" t="s">
        <v>30</v>
      </c>
      <c r="N162" s="2">
        <v>5</v>
      </c>
    </row>
    <row r="163" spans="1:14">
      <c r="A163" t="s">
        <v>193</v>
      </c>
      <c r="B163" s="1" t="str">
        <f>"35-2012"</f>
        <v>35-2012</v>
      </c>
      <c r="C163" s="1">
        <v>410.1</v>
      </c>
      <c r="D163" s="1">
        <v>436</v>
      </c>
      <c r="E163" s="1">
        <v>25.9</v>
      </c>
      <c r="F163" s="1">
        <v>6.3</v>
      </c>
      <c r="G163" s="1">
        <v>67.5</v>
      </c>
      <c r="H163" s="2">
        <v>29910</v>
      </c>
      <c r="I163" t="s">
        <v>42</v>
      </c>
      <c r="J163" s="2">
        <v>8</v>
      </c>
      <c r="K163" t="s">
        <v>16</v>
      </c>
      <c r="L163" s="2">
        <v>4</v>
      </c>
      <c r="M163" t="s">
        <v>30</v>
      </c>
      <c r="N163" s="2">
        <v>5</v>
      </c>
    </row>
    <row r="164" spans="1:14">
      <c r="A164" t="s">
        <v>194</v>
      </c>
      <c r="B164" s="1" t="str">
        <f>"35-2013"</f>
        <v>35-2013</v>
      </c>
      <c r="C164" s="1">
        <v>41.4</v>
      </c>
      <c r="D164" s="1">
        <v>40.7</v>
      </c>
      <c r="E164" s="1">
        <v>-0.7</v>
      </c>
      <c r="F164" s="1">
        <v>-1.7</v>
      </c>
      <c r="G164" s="1">
        <v>6.2</v>
      </c>
      <c r="H164" s="2">
        <v>42920</v>
      </c>
      <c r="I164" t="s">
        <v>50</v>
      </c>
      <c r="J164" s="2">
        <v>5</v>
      </c>
      <c r="K164" t="s">
        <v>32</v>
      </c>
      <c r="L164" s="2">
        <v>2</v>
      </c>
      <c r="M164" t="s">
        <v>16</v>
      </c>
      <c r="N164" s="2">
        <v>6</v>
      </c>
    </row>
    <row r="165" spans="1:14">
      <c r="A165" t="s">
        <v>195</v>
      </c>
      <c r="B165" s="1" t="str">
        <f>"35-2014"</f>
        <v>35-2014</v>
      </c>
      <c r="C165" s="1">
        <v>1255.6</v>
      </c>
      <c r="D165" s="1">
        <v>1715.6</v>
      </c>
      <c r="E165" s="1">
        <v>459.9</v>
      </c>
      <c r="F165" s="1">
        <v>36.6</v>
      </c>
      <c r="G165" s="1">
        <v>274</v>
      </c>
      <c r="H165" s="2">
        <v>30010</v>
      </c>
      <c r="I165" t="s">
        <v>42</v>
      </c>
      <c r="J165" s="2">
        <v>8</v>
      </c>
      <c r="K165" t="s">
        <v>32</v>
      </c>
      <c r="L165" s="2">
        <v>2</v>
      </c>
      <c r="M165" t="s">
        <v>26</v>
      </c>
      <c r="N165" s="2">
        <v>4</v>
      </c>
    </row>
    <row r="166" spans="1:14">
      <c r="A166" t="s">
        <v>196</v>
      </c>
      <c r="B166" s="1" t="str">
        <f>"35-2015"</f>
        <v>35-2015</v>
      </c>
      <c r="C166" s="1">
        <v>129.8</v>
      </c>
      <c r="D166" s="1">
        <v>131.1</v>
      </c>
      <c r="E166" s="1">
        <v>1.3</v>
      </c>
      <c r="F166" s="1">
        <v>1</v>
      </c>
      <c r="G166" s="1">
        <v>20.1</v>
      </c>
      <c r="H166" s="2">
        <v>28560</v>
      </c>
      <c r="I166" t="s">
        <v>42</v>
      </c>
      <c r="J166" s="2">
        <v>8</v>
      </c>
      <c r="K166" t="s">
        <v>16</v>
      </c>
      <c r="L166" s="2">
        <v>4</v>
      </c>
      <c r="M166" t="s">
        <v>30</v>
      </c>
      <c r="N166" s="2">
        <v>5</v>
      </c>
    </row>
    <row r="167" spans="1:14">
      <c r="A167" t="s">
        <v>197</v>
      </c>
      <c r="B167" s="1" t="str">
        <f>"51-9193"</f>
        <v>51-9193</v>
      </c>
      <c r="C167" s="1">
        <v>8.3</v>
      </c>
      <c r="D167" s="1">
        <v>8.8</v>
      </c>
      <c r="E167" s="1">
        <v>0.5</v>
      </c>
      <c r="F167" s="1">
        <v>6.2</v>
      </c>
      <c r="G167" s="1">
        <v>1</v>
      </c>
      <c r="H167" s="2">
        <v>40390</v>
      </c>
      <c r="I167" t="s">
        <v>25</v>
      </c>
      <c r="J167" s="2">
        <v>7</v>
      </c>
      <c r="K167" t="s">
        <v>16</v>
      </c>
      <c r="L167" s="2">
        <v>4</v>
      </c>
      <c r="M167" t="s">
        <v>26</v>
      </c>
      <c r="N167" s="2">
        <v>4</v>
      </c>
    </row>
    <row r="168" spans="1:14">
      <c r="A168" t="s">
        <v>198</v>
      </c>
      <c r="B168" s="1" t="str">
        <f>"33-3012"</f>
        <v>33-3012</v>
      </c>
      <c r="C168" s="1">
        <v>402.2</v>
      </c>
      <c r="D168" s="1">
        <v>360.6</v>
      </c>
      <c r="E168" s="1">
        <v>-41.6</v>
      </c>
      <c r="F168" s="1">
        <v>-10.3</v>
      </c>
      <c r="G168" s="1">
        <v>31.2</v>
      </c>
      <c r="H168" s="2">
        <v>47920</v>
      </c>
      <c r="I168" t="s">
        <v>25</v>
      </c>
      <c r="J168" s="2">
        <v>7</v>
      </c>
      <c r="K168" t="s">
        <v>16</v>
      </c>
      <c r="L168" s="2">
        <v>4</v>
      </c>
      <c r="M168" t="s">
        <v>26</v>
      </c>
      <c r="N168" s="2">
        <v>4</v>
      </c>
    </row>
    <row r="169" spans="1:14">
      <c r="A169" t="s">
        <v>199</v>
      </c>
      <c r="B169" s="1" t="str">
        <f>"43-4021"</f>
        <v>43-4021</v>
      </c>
      <c r="C169" s="1">
        <v>7.8</v>
      </c>
      <c r="D169" s="1">
        <v>7.6</v>
      </c>
      <c r="E169" s="1">
        <v>-0.2</v>
      </c>
      <c r="F169" s="1">
        <v>-2.1</v>
      </c>
      <c r="G169" s="1">
        <v>0.9</v>
      </c>
      <c r="H169" s="2">
        <v>37920</v>
      </c>
      <c r="I169" t="s">
        <v>25</v>
      </c>
      <c r="J169" s="2">
        <v>7</v>
      </c>
      <c r="K169" t="s">
        <v>16</v>
      </c>
      <c r="L169" s="2">
        <v>4</v>
      </c>
      <c r="M169" t="s">
        <v>30</v>
      </c>
      <c r="N169" s="2">
        <v>5</v>
      </c>
    </row>
    <row r="170" spans="1:14">
      <c r="A170" t="s">
        <v>200</v>
      </c>
      <c r="B170" s="1" t="str">
        <f>"13-1051"</f>
        <v>13-1051</v>
      </c>
      <c r="C170" s="1">
        <v>212.1</v>
      </c>
      <c r="D170" s="1">
        <v>207.7</v>
      </c>
      <c r="E170" s="1">
        <v>-4.4</v>
      </c>
      <c r="F170" s="1">
        <v>-2.1</v>
      </c>
      <c r="G170" s="1">
        <v>18.5</v>
      </c>
      <c r="H170" s="2">
        <v>65170</v>
      </c>
      <c r="I170" t="s">
        <v>15</v>
      </c>
      <c r="J170" s="2">
        <v>3</v>
      </c>
      <c r="K170" t="s">
        <v>16</v>
      </c>
      <c r="L170" s="2">
        <v>4</v>
      </c>
      <c r="M170" t="s">
        <v>26</v>
      </c>
      <c r="N170" s="2">
        <v>4</v>
      </c>
    </row>
    <row r="171" spans="1:14">
      <c r="A171" t="s">
        <v>201</v>
      </c>
      <c r="B171" s="1" t="str">
        <f>"39-3092"</f>
        <v>39-3092</v>
      </c>
      <c r="C171" s="1">
        <v>3.9</v>
      </c>
      <c r="D171" s="1">
        <v>4.6</v>
      </c>
      <c r="E171" s="1">
        <v>0.7</v>
      </c>
      <c r="F171" s="1">
        <v>18.9</v>
      </c>
      <c r="G171" s="1">
        <v>1.2</v>
      </c>
      <c r="H171" s="2">
        <v>47850</v>
      </c>
      <c r="I171" t="s">
        <v>25</v>
      </c>
      <c r="J171" s="2">
        <v>7</v>
      </c>
      <c r="K171" t="s">
        <v>16</v>
      </c>
      <c r="L171" s="2">
        <v>4</v>
      </c>
      <c r="M171" t="s">
        <v>30</v>
      </c>
      <c r="N171" s="2">
        <v>5</v>
      </c>
    </row>
    <row r="172" spans="1:14">
      <c r="A172" t="s">
        <v>202</v>
      </c>
      <c r="B172" s="1" t="str">
        <f>"21-1019"</f>
        <v>21-1019</v>
      </c>
      <c r="C172" s="1">
        <v>70.3</v>
      </c>
      <c r="D172" s="1">
        <v>77.1</v>
      </c>
      <c r="E172" s="1">
        <v>6.8</v>
      </c>
      <c r="F172" s="1">
        <v>9.6</v>
      </c>
      <c r="G172" s="1">
        <v>8.1</v>
      </c>
      <c r="H172" s="2">
        <v>45160</v>
      </c>
      <c r="I172" t="s">
        <v>23</v>
      </c>
      <c r="J172" s="2">
        <v>2</v>
      </c>
      <c r="K172" t="s">
        <v>16</v>
      </c>
      <c r="L172" s="2">
        <v>4</v>
      </c>
      <c r="M172" t="s">
        <v>16</v>
      </c>
      <c r="N172" s="2">
        <v>6</v>
      </c>
    </row>
    <row r="173" spans="1:14">
      <c r="A173" t="s">
        <v>203</v>
      </c>
      <c r="B173" s="1" t="str">
        <f>"41-2021"</f>
        <v>41-2021</v>
      </c>
      <c r="C173" s="1">
        <v>391.4</v>
      </c>
      <c r="D173" s="1">
        <v>408.6</v>
      </c>
      <c r="E173" s="1">
        <v>17.3</v>
      </c>
      <c r="F173" s="1">
        <v>4.4</v>
      </c>
      <c r="G173" s="1">
        <v>50.6</v>
      </c>
      <c r="H173" s="2">
        <v>31330</v>
      </c>
      <c r="I173" t="s">
        <v>42</v>
      </c>
      <c r="J173" s="2">
        <v>8</v>
      </c>
      <c r="K173" t="s">
        <v>16</v>
      </c>
      <c r="L173" s="2">
        <v>4</v>
      </c>
      <c r="M173" t="s">
        <v>30</v>
      </c>
      <c r="N173" s="2">
        <v>5</v>
      </c>
    </row>
    <row r="174" spans="1:14">
      <c r="A174" t="s">
        <v>204</v>
      </c>
      <c r="B174" s="1" t="str">
        <f>"43-5021"</f>
        <v>43-5021</v>
      </c>
      <c r="C174" s="1">
        <v>178.9</v>
      </c>
      <c r="D174" s="1">
        <v>178.3</v>
      </c>
      <c r="E174" s="1">
        <v>-0.6</v>
      </c>
      <c r="F174" s="1">
        <v>-0.3</v>
      </c>
      <c r="G174" s="1">
        <v>19.1</v>
      </c>
      <c r="H174" s="2">
        <v>33050</v>
      </c>
      <c r="I174" t="s">
        <v>25</v>
      </c>
      <c r="J174" s="2">
        <v>7</v>
      </c>
      <c r="K174" t="s">
        <v>16</v>
      </c>
      <c r="L174" s="2">
        <v>4</v>
      </c>
      <c r="M174" t="s">
        <v>30</v>
      </c>
      <c r="N174" s="2">
        <v>5</v>
      </c>
    </row>
    <row r="175" spans="1:14">
      <c r="A175" t="s">
        <v>205</v>
      </c>
      <c r="B175" s="1" t="str">
        <f>"27-3092"</f>
        <v>27-3092</v>
      </c>
      <c r="C175" s="1">
        <v>18.5</v>
      </c>
      <c r="D175" s="1">
        <v>18.7</v>
      </c>
      <c r="E175" s="1">
        <v>0.3</v>
      </c>
      <c r="F175" s="1">
        <v>1.4</v>
      </c>
      <c r="G175" s="1">
        <v>2</v>
      </c>
      <c r="H175" s="2">
        <v>60380</v>
      </c>
      <c r="I175" t="s">
        <v>50</v>
      </c>
      <c r="J175" s="2">
        <v>5</v>
      </c>
      <c r="K175" t="s">
        <v>16</v>
      </c>
      <c r="L175" s="2">
        <v>4</v>
      </c>
      <c r="M175" t="s">
        <v>30</v>
      </c>
      <c r="N175" s="2">
        <v>5</v>
      </c>
    </row>
    <row r="176" spans="1:14">
      <c r="A176" t="s">
        <v>206</v>
      </c>
      <c r="B176" s="1" t="str">
        <f>"43-4031"</f>
        <v>43-4031</v>
      </c>
      <c r="C176" s="1">
        <v>156.8</v>
      </c>
      <c r="D176" s="1">
        <v>159.8</v>
      </c>
      <c r="E176" s="1">
        <v>3</v>
      </c>
      <c r="F176" s="1">
        <v>1.9</v>
      </c>
      <c r="G176" s="1">
        <v>18.3</v>
      </c>
      <c r="H176" s="2">
        <v>44610</v>
      </c>
      <c r="I176" t="s">
        <v>25</v>
      </c>
      <c r="J176" s="2">
        <v>7</v>
      </c>
      <c r="K176" t="s">
        <v>16</v>
      </c>
      <c r="L176" s="2">
        <v>4</v>
      </c>
      <c r="M176" t="s">
        <v>20</v>
      </c>
      <c r="N176" s="2">
        <v>3</v>
      </c>
    </row>
    <row r="177" spans="1:14">
      <c r="A177" t="s">
        <v>207</v>
      </c>
      <c r="B177" s="1" t="str">
        <f>"27-1012"</f>
        <v>27-1012</v>
      </c>
      <c r="C177" s="1">
        <v>10.7</v>
      </c>
      <c r="D177" s="1">
        <v>11.2</v>
      </c>
      <c r="E177" s="1">
        <v>0.5</v>
      </c>
      <c r="F177" s="1">
        <v>5.1</v>
      </c>
      <c r="G177" s="1">
        <v>1.2</v>
      </c>
      <c r="H177" s="2">
        <v>35930</v>
      </c>
      <c r="I177" t="s">
        <v>42</v>
      </c>
      <c r="J177" s="2">
        <v>8</v>
      </c>
      <c r="K177" t="s">
        <v>16</v>
      </c>
      <c r="L177" s="2">
        <v>4</v>
      </c>
      <c r="M177" t="s">
        <v>20</v>
      </c>
      <c r="N177" s="2">
        <v>3</v>
      </c>
    </row>
    <row r="178" spans="1:14">
      <c r="A178" t="s">
        <v>208</v>
      </c>
      <c r="B178" s="1" t="str">
        <f>"53-7021"</f>
        <v>53-7021</v>
      </c>
      <c r="C178" s="1">
        <v>45.1</v>
      </c>
      <c r="D178" s="1">
        <v>45.2</v>
      </c>
      <c r="E178" s="1">
        <v>0.2</v>
      </c>
      <c r="F178" s="1">
        <v>0.4</v>
      </c>
      <c r="G178" s="1">
        <v>4.8</v>
      </c>
      <c r="H178" s="2">
        <v>62240</v>
      </c>
      <c r="I178" t="s">
        <v>25</v>
      </c>
      <c r="J178" s="2">
        <v>7</v>
      </c>
      <c r="K178" t="s">
        <v>32</v>
      </c>
      <c r="L178" s="2">
        <v>2</v>
      </c>
      <c r="M178" t="s">
        <v>26</v>
      </c>
      <c r="N178" s="2">
        <v>4</v>
      </c>
    </row>
    <row r="179" spans="1:14">
      <c r="A179" t="s">
        <v>209</v>
      </c>
      <c r="B179" s="1" t="str">
        <f>"13-2041"</f>
        <v>13-2041</v>
      </c>
      <c r="C179" s="1">
        <v>69.9</v>
      </c>
      <c r="D179" s="1">
        <v>68.2</v>
      </c>
      <c r="E179" s="1">
        <v>-1.8</v>
      </c>
      <c r="F179" s="1">
        <v>-2.5</v>
      </c>
      <c r="G179" s="1">
        <v>5.4</v>
      </c>
      <c r="H179" s="2">
        <v>77440</v>
      </c>
      <c r="I179" t="s">
        <v>15</v>
      </c>
      <c r="J179" s="2">
        <v>3</v>
      </c>
      <c r="K179" t="s">
        <v>16</v>
      </c>
      <c r="L179" s="2">
        <v>4</v>
      </c>
      <c r="M179" t="s">
        <v>16</v>
      </c>
      <c r="N179" s="2">
        <v>6</v>
      </c>
    </row>
    <row r="180" spans="1:14">
      <c r="A180" t="s">
        <v>210</v>
      </c>
      <c r="B180" s="1" t="str">
        <f>"43-4041"</f>
        <v>43-4041</v>
      </c>
      <c r="C180" s="1">
        <v>17.3</v>
      </c>
      <c r="D180" s="1">
        <v>16.6</v>
      </c>
      <c r="E180" s="1">
        <v>-0.7</v>
      </c>
      <c r="F180" s="1">
        <v>-3.9</v>
      </c>
      <c r="G180" s="1">
        <v>1.7</v>
      </c>
      <c r="H180" s="2">
        <v>44710</v>
      </c>
      <c r="I180" t="s">
        <v>25</v>
      </c>
      <c r="J180" s="2">
        <v>7</v>
      </c>
      <c r="K180" t="s">
        <v>16</v>
      </c>
      <c r="L180" s="2">
        <v>4</v>
      </c>
      <c r="M180" t="s">
        <v>26</v>
      </c>
      <c r="N180" s="2">
        <v>4</v>
      </c>
    </row>
    <row r="181" spans="1:14">
      <c r="A181" t="s">
        <v>211</v>
      </c>
      <c r="B181" s="1" t="str">
        <f>"13-2071"</f>
        <v>13-2071</v>
      </c>
      <c r="C181" s="1">
        <v>35.3</v>
      </c>
      <c r="D181" s="1">
        <v>38.5</v>
      </c>
      <c r="E181" s="1">
        <v>3.3</v>
      </c>
      <c r="F181" s="1">
        <v>9.3</v>
      </c>
      <c r="G181" s="1">
        <v>3.2</v>
      </c>
      <c r="H181" s="2">
        <v>47580</v>
      </c>
      <c r="I181" t="s">
        <v>15</v>
      </c>
      <c r="J181" s="2">
        <v>3</v>
      </c>
      <c r="K181" t="s">
        <v>16</v>
      </c>
      <c r="L181" s="2">
        <v>4</v>
      </c>
      <c r="M181" t="s">
        <v>26</v>
      </c>
      <c r="N181" s="2">
        <v>4</v>
      </c>
    </row>
    <row r="182" spans="1:14">
      <c r="A182" t="s">
        <v>212</v>
      </c>
      <c r="B182" s="1" t="str">
        <f>"39-4012"</f>
        <v>39-4012</v>
      </c>
      <c r="C182" s="1">
        <v>2.1</v>
      </c>
      <c r="D182" s="1">
        <v>2.3</v>
      </c>
      <c r="E182" s="1">
        <v>0.2</v>
      </c>
      <c r="F182" s="1">
        <v>8.6</v>
      </c>
      <c r="G182" s="1">
        <v>0.4</v>
      </c>
      <c r="H182" s="2">
        <v>37490</v>
      </c>
      <c r="I182" t="s">
        <v>25</v>
      </c>
      <c r="J182" s="2">
        <v>7</v>
      </c>
      <c r="K182" t="s">
        <v>16</v>
      </c>
      <c r="L182" s="2">
        <v>4</v>
      </c>
      <c r="M182" t="s">
        <v>30</v>
      </c>
      <c r="N182" s="2">
        <v>5</v>
      </c>
    </row>
    <row r="183" spans="1:14">
      <c r="A183" t="s">
        <v>213</v>
      </c>
      <c r="B183" s="1" t="str">
        <f>"25-1111"</f>
        <v>25-1111</v>
      </c>
      <c r="C183" s="1">
        <v>16.5</v>
      </c>
      <c r="D183" s="1">
        <v>18.2</v>
      </c>
      <c r="E183" s="1">
        <v>1.6</v>
      </c>
      <c r="F183" s="1">
        <v>9.8</v>
      </c>
      <c r="G183" s="1">
        <v>1.6</v>
      </c>
      <c r="H183" s="2">
        <v>64600</v>
      </c>
      <c r="I183" t="s">
        <v>28</v>
      </c>
      <c r="J183" s="2">
        <v>1</v>
      </c>
      <c r="K183" t="s">
        <v>16</v>
      </c>
      <c r="L183" s="2">
        <v>4</v>
      </c>
      <c r="M183" t="s">
        <v>16</v>
      </c>
      <c r="N183" s="2">
        <v>6</v>
      </c>
    </row>
    <row r="184" spans="1:14">
      <c r="A184" t="s">
        <v>214</v>
      </c>
      <c r="B184" s="1" t="str">
        <f>"33-9091"</f>
        <v>33-9091</v>
      </c>
      <c r="C184" s="1">
        <v>85.1</v>
      </c>
      <c r="D184" s="1">
        <v>92.9</v>
      </c>
      <c r="E184" s="1">
        <v>7.8</v>
      </c>
      <c r="F184" s="1">
        <v>9.2</v>
      </c>
      <c r="G184" s="1">
        <v>20</v>
      </c>
      <c r="H184" s="2">
        <v>31450</v>
      </c>
      <c r="I184" t="s">
        <v>42</v>
      </c>
      <c r="J184" s="2">
        <v>8</v>
      </c>
      <c r="K184" t="s">
        <v>16</v>
      </c>
      <c r="L184" s="2">
        <v>4</v>
      </c>
      <c r="M184" t="s">
        <v>30</v>
      </c>
      <c r="N184" s="2">
        <v>5</v>
      </c>
    </row>
    <row r="185" spans="1:14">
      <c r="A185" t="s">
        <v>215</v>
      </c>
      <c r="B185" s="1" t="str">
        <f>"51-9021"</f>
        <v>51-9021</v>
      </c>
      <c r="C185" s="1">
        <v>32.1</v>
      </c>
      <c r="D185" s="1">
        <v>31.4</v>
      </c>
      <c r="E185" s="1">
        <v>-0.7</v>
      </c>
      <c r="F185" s="1">
        <v>-2.2</v>
      </c>
      <c r="G185" s="1">
        <v>3.5</v>
      </c>
      <c r="H185" s="2">
        <v>38760</v>
      </c>
      <c r="I185" t="s">
        <v>25</v>
      </c>
      <c r="J185" s="2">
        <v>7</v>
      </c>
      <c r="K185" t="s">
        <v>16</v>
      </c>
      <c r="L185" s="2">
        <v>4</v>
      </c>
      <c r="M185" t="s">
        <v>26</v>
      </c>
      <c r="N185" s="2">
        <v>4</v>
      </c>
    </row>
    <row r="186" spans="1:14">
      <c r="A186" t="s">
        <v>216</v>
      </c>
      <c r="B186" s="1" t="str">
        <f>"25-4012"</f>
        <v>25-4012</v>
      </c>
      <c r="C186" s="1">
        <v>12.9</v>
      </c>
      <c r="D186" s="1">
        <v>14.7</v>
      </c>
      <c r="E186" s="1">
        <v>1.9</v>
      </c>
      <c r="F186" s="1">
        <v>14.4</v>
      </c>
      <c r="G186" s="1">
        <v>1.8</v>
      </c>
      <c r="H186" s="2">
        <v>60110</v>
      </c>
      <c r="I186" t="s">
        <v>23</v>
      </c>
      <c r="J186" s="2">
        <v>2</v>
      </c>
      <c r="K186" t="s">
        <v>16</v>
      </c>
      <c r="L186" s="2">
        <v>4</v>
      </c>
      <c r="M186" t="s">
        <v>16</v>
      </c>
      <c r="N186" s="2">
        <v>6</v>
      </c>
    </row>
    <row r="187" spans="1:14">
      <c r="A187" t="s">
        <v>217</v>
      </c>
      <c r="B187" s="1" t="str">
        <f>"43-4051"</f>
        <v>43-4051</v>
      </c>
      <c r="C187" s="1">
        <v>2898.9</v>
      </c>
      <c r="D187" s="1">
        <v>2793.6</v>
      </c>
      <c r="E187" s="1">
        <v>-105.3</v>
      </c>
      <c r="F187" s="1">
        <v>-3.6</v>
      </c>
      <c r="G187" s="1">
        <v>389.4</v>
      </c>
      <c r="H187" s="2">
        <v>36920</v>
      </c>
      <c r="I187" t="s">
        <v>25</v>
      </c>
      <c r="J187" s="2">
        <v>7</v>
      </c>
      <c r="K187" t="s">
        <v>16</v>
      </c>
      <c r="L187" s="2">
        <v>4</v>
      </c>
      <c r="M187" t="s">
        <v>30</v>
      </c>
      <c r="N187" s="2">
        <v>5</v>
      </c>
    </row>
    <row r="188" spans="1:14">
      <c r="A188" t="s">
        <v>218</v>
      </c>
      <c r="B188" s="1" t="str">
        <f>"51-9031"</f>
        <v>51-9031</v>
      </c>
      <c r="C188" s="1">
        <v>8.2</v>
      </c>
      <c r="D188" s="1">
        <v>5.9</v>
      </c>
      <c r="E188" s="1">
        <v>-2.3</v>
      </c>
      <c r="F188" s="1">
        <v>-28.4</v>
      </c>
      <c r="G188" s="1">
        <v>0.7</v>
      </c>
      <c r="H188" s="2">
        <v>30230</v>
      </c>
      <c r="I188" t="s">
        <v>42</v>
      </c>
      <c r="J188" s="2">
        <v>8</v>
      </c>
      <c r="K188" t="s">
        <v>16</v>
      </c>
      <c r="L188" s="2">
        <v>4</v>
      </c>
      <c r="M188" t="s">
        <v>30</v>
      </c>
      <c r="N188" s="2">
        <v>5</v>
      </c>
    </row>
    <row r="189" spans="1:14">
      <c r="A189" t="s">
        <v>219</v>
      </c>
      <c r="B189" s="1" t="str">
        <f>"51-9032"</f>
        <v>51-9032</v>
      </c>
      <c r="C189" s="1">
        <v>58.3</v>
      </c>
      <c r="D189" s="1">
        <v>57</v>
      </c>
      <c r="E189" s="1">
        <v>-1.3</v>
      </c>
      <c r="F189" s="1">
        <v>-2.2</v>
      </c>
      <c r="G189" s="1">
        <v>7.3</v>
      </c>
      <c r="H189" s="2">
        <v>37810</v>
      </c>
      <c r="I189" t="s">
        <v>25</v>
      </c>
      <c r="J189" s="2">
        <v>7</v>
      </c>
      <c r="K189" t="s">
        <v>16</v>
      </c>
      <c r="L189" s="2">
        <v>4</v>
      </c>
      <c r="M189" t="s">
        <v>26</v>
      </c>
      <c r="N189" s="2">
        <v>4</v>
      </c>
    </row>
    <row r="190" spans="1:14">
      <c r="A190" t="s">
        <v>220</v>
      </c>
      <c r="B190" s="1" t="str">
        <f>"51-4031"</f>
        <v>51-4031</v>
      </c>
      <c r="C190" s="1">
        <v>183.3</v>
      </c>
      <c r="D190" s="1">
        <v>170.1</v>
      </c>
      <c r="E190" s="1">
        <v>-13.2</v>
      </c>
      <c r="F190" s="1">
        <v>-7.2</v>
      </c>
      <c r="G190" s="1">
        <v>17.1</v>
      </c>
      <c r="H190" s="2">
        <v>37630</v>
      </c>
      <c r="I190" t="s">
        <v>25</v>
      </c>
      <c r="J190" s="2">
        <v>7</v>
      </c>
      <c r="K190" t="s">
        <v>16</v>
      </c>
      <c r="L190" s="2">
        <v>4</v>
      </c>
      <c r="M190" t="s">
        <v>26</v>
      </c>
      <c r="N190" s="2">
        <v>4</v>
      </c>
    </row>
    <row r="191" spans="1:14">
      <c r="A191" t="s">
        <v>221</v>
      </c>
      <c r="B191" s="1" t="str">
        <f>"27-2031"</f>
        <v>27-2031</v>
      </c>
      <c r="C191" s="1">
        <v>6.2</v>
      </c>
      <c r="D191" s="1">
        <v>7.7</v>
      </c>
      <c r="E191" s="1">
        <v>1.5</v>
      </c>
      <c r="F191" s="1">
        <v>24.5</v>
      </c>
      <c r="G191" s="1">
        <v>1.3</v>
      </c>
      <c r="H191" s="2" t="s">
        <v>18</v>
      </c>
      <c r="I191" t="s">
        <v>42</v>
      </c>
      <c r="J191" s="2">
        <v>8</v>
      </c>
      <c r="K191" t="s">
        <v>16</v>
      </c>
      <c r="L191" s="2">
        <v>4</v>
      </c>
      <c r="M191" t="s">
        <v>20</v>
      </c>
      <c r="N191" s="2">
        <v>3</v>
      </c>
    </row>
    <row r="192" spans="1:14">
      <c r="A192" t="s">
        <v>222</v>
      </c>
      <c r="B192" s="1" t="str">
        <f>"43-9021"</f>
        <v>43-9021</v>
      </c>
      <c r="C192" s="1">
        <v>155.9</v>
      </c>
      <c r="D192" s="1">
        <v>117.4</v>
      </c>
      <c r="E192" s="1">
        <v>-38.5</v>
      </c>
      <c r="F192" s="1">
        <v>-24.7</v>
      </c>
      <c r="G192" s="1">
        <v>13.1</v>
      </c>
      <c r="H192" s="2">
        <v>35630</v>
      </c>
      <c r="I192" t="s">
        <v>25</v>
      </c>
      <c r="J192" s="2">
        <v>7</v>
      </c>
      <c r="K192" t="s">
        <v>16</v>
      </c>
      <c r="L192" s="2">
        <v>4</v>
      </c>
      <c r="M192" t="s">
        <v>30</v>
      </c>
      <c r="N192" s="2">
        <v>5</v>
      </c>
    </row>
    <row r="193" spans="1:14">
      <c r="A193" t="s">
        <v>223</v>
      </c>
      <c r="B193" s="1" t="str">
        <f>"15-2051"</f>
        <v>15-2051</v>
      </c>
      <c r="C193" s="1">
        <v>113.3</v>
      </c>
      <c r="D193" s="1">
        <v>153.9</v>
      </c>
      <c r="E193" s="1">
        <v>40.5</v>
      </c>
      <c r="F193" s="1">
        <v>35.8</v>
      </c>
      <c r="G193" s="1">
        <v>13.5</v>
      </c>
      <c r="H193" s="2">
        <v>100910</v>
      </c>
      <c r="I193" t="s">
        <v>15</v>
      </c>
      <c r="J193" s="2">
        <v>3</v>
      </c>
      <c r="K193" t="s">
        <v>16</v>
      </c>
      <c r="L193" s="2">
        <v>4</v>
      </c>
      <c r="M193" t="s">
        <v>16</v>
      </c>
      <c r="N193" s="2">
        <v>6</v>
      </c>
    </row>
    <row r="194" spans="1:14">
      <c r="A194" t="s">
        <v>224</v>
      </c>
      <c r="B194" s="1" t="str">
        <f>"15-1242"</f>
        <v>15-1242</v>
      </c>
      <c r="C194" s="1">
        <v>91.8</v>
      </c>
      <c r="D194" s="1">
        <v>99.2</v>
      </c>
      <c r="E194" s="1">
        <v>7.4</v>
      </c>
      <c r="F194" s="1">
        <v>8.1</v>
      </c>
      <c r="G194" s="1">
        <v>7.2</v>
      </c>
      <c r="H194" s="2">
        <v>96710</v>
      </c>
      <c r="I194" t="s">
        <v>15</v>
      </c>
      <c r="J194" s="2">
        <v>3</v>
      </c>
      <c r="K194" t="s">
        <v>16</v>
      </c>
      <c r="L194" s="2">
        <v>4</v>
      </c>
      <c r="M194" t="s">
        <v>16</v>
      </c>
      <c r="N194" s="2">
        <v>6</v>
      </c>
    </row>
    <row r="195" spans="1:14">
      <c r="A195" t="s">
        <v>225</v>
      </c>
      <c r="B195" s="1" t="str">
        <f>"15-1243"</f>
        <v>15-1243</v>
      </c>
      <c r="C195" s="1">
        <v>52.7</v>
      </c>
      <c r="D195" s="1">
        <v>58.1</v>
      </c>
      <c r="E195" s="1">
        <v>5.4</v>
      </c>
      <c r="F195" s="1">
        <v>10.3</v>
      </c>
      <c r="G195" s="1">
        <v>4.3</v>
      </c>
      <c r="H195" s="2">
        <v>123430</v>
      </c>
      <c r="I195" t="s">
        <v>15</v>
      </c>
      <c r="J195" s="2">
        <v>3</v>
      </c>
      <c r="K195" t="s">
        <v>32</v>
      </c>
      <c r="L195" s="2">
        <v>2</v>
      </c>
      <c r="M195" t="s">
        <v>16</v>
      </c>
      <c r="N195" s="2">
        <v>6</v>
      </c>
    </row>
    <row r="196" spans="1:14">
      <c r="A196" t="s">
        <v>226</v>
      </c>
      <c r="B196" s="1" t="str">
        <f>"41-9011"</f>
        <v>41-9011</v>
      </c>
      <c r="C196" s="1">
        <v>46.2</v>
      </c>
      <c r="D196" s="1">
        <v>47.3</v>
      </c>
      <c r="E196" s="1">
        <v>1.1</v>
      </c>
      <c r="F196" s="1">
        <v>2.4</v>
      </c>
      <c r="G196" s="1">
        <v>8.6</v>
      </c>
      <c r="H196" s="2">
        <v>32350</v>
      </c>
      <c r="I196" t="s">
        <v>42</v>
      </c>
      <c r="J196" s="2">
        <v>8</v>
      </c>
      <c r="K196" t="s">
        <v>16</v>
      </c>
      <c r="L196" s="2">
        <v>4</v>
      </c>
      <c r="M196" t="s">
        <v>30</v>
      </c>
      <c r="N196" s="2">
        <v>5</v>
      </c>
    </row>
    <row r="197" spans="1:14">
      <c r="A197" t="s">
        <v>227</v>
      </c>
      <c r="B197" s="1" t="str">
        <f>"31-9091"</f>
        <v>31-9091</v>
      </c>
      <c r="C197" s="1">
        <v>358.6</v>
      </c>
      <c r="D197" s="1">
        <v>388.7</v>
      </c>
      <c r="E197" s="1">
        <v>30.1</v>
      </c>
      <c r="F197" s="1">
        <v>8.4</v>
      </c>
      <c r="G197" s="1">
        <v>56.4</v>
      </c>
      <c r="H197" s="2">
        <v>38660</v>
      </c>
      <c r="I197" t="s">
        <v>50</v>
      </c>
      <c r="J197" s="2">
        <v>5</v>
      </c>
      <c r="K197" t="s">
        <v>16</v>
      </c>
      <c r="L197" s="2">
        <v>4</v>
      </c>
      <c r="M197" t="s">
        <v>16</v>
      </c>
      <c r="N197" s="2">
        <v>6</v>
      </c>
    </row>
    <row r="198" spans="1:14">
      <c r="A198" t="s">
        <v>228</v>
      </c>
      <c r="B198" s="1" t="str">
        <f>"29-1292"</f>
        <v>29-1292</v>
      </c>
      <c r="C198" s="1">
        <v>214</v>
      </c>
      <c r="D198" s="1">
        <v>233.1</v>
      </c>
      <c r="E198" s="1">
        <v>19</v>
      </c>
      <c r="F198" s="1">
        <v>8.9</v>
      </c>
      <c r="G198" s="1">
        <v>16.3</v>
      </c>
      <c r="H198" s="2">
        <v>77810</v>
      </c>
      <c r="I198" t="s">
        <v>37</v>
      </c>
      <c r="J198" s="2">
        <v>4</v>
      </c>
      <c r="K198" t="s">
        <v>16</v>
      </c>
      <c r="L198" s="2">
        <v>4</v>
      </c>
      <c r="M198" t="s">
        <v>16</v>
      </c>
      <c r="N198" s="2">
        <v>6</v>
      </c>
    </row>
    <row r="199" spans="1:14">
      <c r="A199" t="s">
        <v>229</v>
      </c>
      <c r="B199" s="1" t="str">
        <f>"51-9081"</f>
        <v>51-9081</v>
      </c>
      <c r="C199" s="1">
        <v>36.7</v>
      </c>
      <c r="D199" s="1">
        <v>36.5</v>
      </c>
      <c r="E199" s="1">
        <v>-0.3</v>
      </c>
      <c r="F199" s="1">
        <v>-0.7</v>
      </c>
      <c r="G199" s="1">
        <v>4.8</v>
      </c>
      <c r="H199" s="2">
        <v>45770</v>
      </c>
      <c r="I199" t="s">
        <v>25</v>
      </c>
      <c r="J199" s="2">
        <v>7</v>
      </c>
      <c r="K199" t="s">
        <v>16</v>
      </c>
      <c r="L199" s="2">
        <v>4</v>
      </c>
      <c r="M199" t="s">
        <v>26</v>
      </c>
      <c r="N199" s="2">
        <v>4</v>
      </c>
    </row>
    <row r="200" spans="1:14">
      <c r="A200" t="s">
        <v>230</v>
      </c>
      <c r="B200" s="1" t="str">
        <f>"29-1029"</f>
        <v>29-1029</v>
      </c>
      <c r="C200" s="1">
        <v>5.4</v>
      </c>
      <c r="D200" s="1">
        <v>5.4</v>
      </c>
      <c r="E200" s="1">
        <v>0</v>
      </c>
      <c r="F200" s="1">
        <v>0.8</v>
      </c>
      <c r="G200" s="1">
        <v>0.2</v>
      </c>
      <c r="H200" s="2">
        <v>175160</v>
      </c>
      <c r="I200" t="s">
        <v>28</v>
      </c>
      <c r="J200" s="2">
        <v>1</v>
      </c>
      <c r="K200" t="s">
        <v>16</v>
      </c>
      <c r="L200" s="2">
        <v>4</v>
      </c>
      <c r="M200" t="s">
        <v>59</v>
      </c>
      <c r="N200" s="2">
        <v>1</v>
      </c>
    </row>
    <row r="201" spans="1:14">
      <c r="A201" t="s">
        <v>231</v>
      </c>
      <c r="B201" s="1" t="str">
        <f>"29-1021"</f>
        <v>29-1021</v>
      </c>
      <c r="C201" s="1">
        <v>127.6</v>
      </c>
      <c r="D201" s="1">
        <v>135.4</v>
      </c>
      <c r="E201" s="1">
        <v>7.7</v>
      </c>
      <c r="F201" s="1">
        <v>6.1</v>
      </c>
      <c r="G201" s="1">
        <v>4.5</v>
      </c>
      <c r="H201" s="2">
        <v>160370</v>
      </c>
      <c r="I201" t="s">
        <v>28</v>
      </c>
      <c r="J201" s="2">
        <v>1</v>
      </c>
      <c r="K201" t="s">
        <v>16</v>
      </c>
      <c r="L201" s="2">
        <v>4</v>
      </c>
      <c r="M201" t="s">
        <v>16</v>
      </c>
      <c r="N201" s="2">
        <v>6</v>
      </c>
    </row>
    <row r="202" spans="1:14">
      <c r="A202" t="s">
        <v>232</v>
      </c>
      <c r="B202" s="1" t="str">
        <f>"29-1213"</f>
        <v>29-1213</v>
      </c>
      <c r="C202" s="1">
        <v>10.1</v>
      </c>
      <c r="D202" s="1">
        <v>10.4</v>
      </c>
      <c r="E202" s="1">
        <v>0.3</v>
      </c>
      <c r="F202" s="1">
        <v>3.1</v>
      </c>
      <c r="G202" s="1">
        <v>0.3</v>
      </c>
      <c r="H202" s="2" t="s">
        <v>58</v>
      </c>
      <c r="I202" t="s">
        <v>28</v>
      </c>
      <c r="J202" s="2">
        <v>1</v>
      </c>
      <c r="K202" t="s">
        <v>16</v>
      </c>
      <c r="L202" s="2">
        <v>4</v>
      </c>
      <c r="M202" t="s">
        <v>59</v>
      </c>
      <c r="N202" s="2">
        <v>1</v>
      </c>
    </row>
    <row r="203" spans="1:14">
      <c r="A203" t="s">
        <v>233</v>
      </c>
      <c r="B203" s="1" t="str">
        <f>"47-5011"</f>
        <v>47-5011</v>
      </c>
      <c r="C203" s="1">
        <v>8.6</v>
      </c>
      <c r="D203" s="1">
        <v>10</v>
      </c>
      <c r="E203" s="1">
        <v>1.4</v>
      </c>
      <c r="F203" s="1">
        <v>16.9</v>
      </c>
      <c r="G203" s="1">
        <v>1.2</v>
      </c>
      <c r="H203" s="2">
        <v>47230</v>
      </c>
      <c r="I203" t="s">
        <v>42</v>
      </c>
      <c r="J203" s="2">
        <v>8</v>
      </c>
      <c r="K203" t="s">
        <v>16</v>
      </c>
      <c r="L203" s="2">
        <v>4</v>
      </c>
      <c r="M203" t="s">
        <v>30</v>
      </c>
      <c r="N203" s="2">
        <v>5</v>
      </c>
    </row>
    <row r="204" spans="1:14">
      <c r="A204" t="s">
        <v>234</v>
      </c>
      <c r="B204" s="1" t="str">
        <f>"27-1029"</f>
        <v>27-1029</v>
      </c>
      <c r="C204" s="1">
        <v>42.9</v>
      </c>
      <c r="D204" s="1">
        <v>43.9</v>
      </c>
      <c r="E204" s="1">
        <v>1</v>
      </c>
      <c r="F204" s="1">
        <v>2.4</v>
      </c>
      <c r="G204" s="1">
        <v>4</v>
      </c>
      <c r="H204" s="2">
        <v>62310</v>
      </c>
      <c r="I204" t="s">
        <v>15</v>
      </c>
      <c r="J204" s="2">
        <v>3</v>
      </c>
      <c r="K204" t="s">
        <v>16</v>
      </c>
      <c r="L204" s="2">
        <v>4</v>
      </c>
      <c r="M204" t="s">
        <v>16</v>
      </c>
      <c r="N204" s="2">
        <v>6</v>
      </c>
    </row>
    <row r="205" spans="1:14">
      <c r="A205" t="s">
        <v>235</v>
      </c>
      <c r="B205" s="1" t="str">
        <f>"43-9031"</f>
        <v>43-9031</v>
      </c>
      <c r="C205" s="1">
        <v>9.5</v>
      </c>
      <c r="D205" s="1">
        <v>8.2</v>
      </c>
      <c r="E205" s="1">
        <v>-1.3</v>
      </c>
      <c r="F205" s="1">
        <v>-13.7</v>
      </c>
      <c r="G205" s="1">
        <v>0.9</v>
      </c>
      <c r="H205" s="2">
        <v>46910</v>
      </c>
      <c r="I205" t="s">
        <v>37</v>
      </c>
      <c r="J205" s="2">
        <v>4</v>
      </c>
      <c r="K205" t="s">
        <v>16</v>
      </c>
      <c r="L205" s="2">
        <v>4</v>
      </c>
      <c r="M205" t="s">
        <v>30</v>
      </c>
      <c r="N205" s="2">
        <v>5</v>
      </c>
    </row>
    <row r="206" spans="1:14">
      <c r="A206" t="s">
        <v>236</v>
      </c>
      <c r="B206" s="1" t="str">
        <f>"33-3021"</f>
        <v>33-3021</v>
      </c>
      <c r="C206" s="1">
        <v>112.9</v>
      </c>
      <c r="D206" s="1">
        <v>112</v>
      </c>
      <c r="E206" s="1">
        <v>-0.8</v>
      </c>
      <c r="F206" s="1">
        <v>-0.7</v>
      </c>
      <c r="G206" s="1">
        <v>8.8</v>
      </c>
      <c r="H206" s="2">
        <v>83640</v>
      </c>
      <c r="I206" t="s">
        <v>25</v>
      </c>
      <c r="J206" s="2">
        <v>7</v>
      </c>
      <c r="K206" t="s">
        <v>32</v>
      </c>
      <c r="L206" s="2">
        <v>2</v>
      </c>
      <c r="M206" t="s">
        <v>26</v>
      </c>
      <c r="N206" s="2">
        <v>4</v>
      </c>
    </row>
    <row r="207" spans="1:14">
      <c r="A207" t="s">
        <v>237</v>
      </c>
      <c r="B207" s="1" t="str">
        <f>"29-2032"</f>
        <v>29-2032</v>
      </c>
      <c r="C207" s="1">
        <v>82.3</v>
      </c>
      <c r="D207" s="1">
        <v>94.4</v>
      </c>
      <c r="E207" s="1">
        <v>12.1</v>
      </c>
      <c r="F207" s="1">
        <v>14.7</v>
      </c>
      <c r="G207" s="1">
        <v>6</v>
      </c>
      <c r="H207" s="2">
        <v>77740</v>
      </c>
      <c r="I207" t="s">
        <v>37</v>
      </c>
      <c r="J207" s="2">
        <v>4</v>
      </c>
      <c r="K207" t="s">
        <v>16</v>
      </c>
      <c r="L207" s="2">
        <v>4</v>
      </c>
      <c r="M207" t="s">
        <v>16</v>
      </c>
      <c r="N207" s="2">
        <v>6</v>
      </c>
    </row>
    <row r="208" spans="1:14">
      <c r="A208" t="s">
        <v>238</v>
      </c>
      <c r="B208" s="1" t="str">
        <f>"29-2051"</f>
        <v>29-2051</v>
      </c>
      <c r="C208" s="1">
        <v>22</v>
      </c>
      <c r="D208" s="1">
        <v>23</v>
      </c>
      <c r="E208" s="1">
        <v>1</v>
      </c>
      <c r="F208" s="1">
        <v>4.7</v>
      </c>
      <c r="G208" s="1">
        <v>2.5</v>
      </c>
      <c r="H208" s="2">
        <v>29520</v>
      </c>
      <c r="I208" t="s">
        <v>37</v>
      </c>
      <c r="J208" s="2">
        <v>4</v>
      </c>
      <c r="K208" t="s">
        <v>16</v>
      </c>
      <c r="L208" s="2">
        <v>4</v>
      </c>
      <c r="M208" t="s">
        <v>16</v>
      </c>
      <c r="N208" s="2">
        <v>6</v>
      </c>
    </row>
    <row r="209" spans="1:14">
      <c r="A209" t="s">
        <v>239</v>
      </c>
      <c r="B209" s="1" t="str">
        <f>"29-1031"</f>
        <v>29-1031</v>
      </c>
      <c r="C209" s="1">
        <v>74.7</v>
      </c>
      <c r="D209" s="1">
        <v>79.7</v>
      </c>
      <c r="E209" s="1">
        <v>5.1</v>
      </c>
      <c r="F209" s="1">
        <v>6.8</v>
      </c>
      <c r="G209" s="1">
        <v>5.6</v>
      </c>
      <c r="H209" s="2">
        <v>61650</v>
      </c>
      <c r="I209" t="s">
        <v>15</v>
      </c>
      <c r="J209" s="2">
        <v>3</v>
      </c>
      <c r="K209" t="s">
        <v>16</v>
      </c>
      <c r="L209" s="2">
        <v>4</v>
      </c>
      <c r="M209" t="s">
        <v>59</v>
      </c>
      <c r="N209" s="2">
        <v>1</v>
      </c>
    </row>
    <row r="210" spans="1:14">
      <c r="A210" t="s">
        <v>240</v>
      </c>
      <c r="B210" s="1" t="str">
        <f>"35-9011"</f>
        <v>35-9011</v>
      </c>
      <c r="C210" s="1">
        <v>355.2</v>
      </c>
      <c r="D210" s="1">
        <v>415.1</v>
      </c>
      <c r="E210" s="1">
        <v>59.9</v>
      </c>
      <c r="F210" s="1">
        <v>16.9</v>
      </c>
      <c r="G210" s="1">
        <v>76.1</v>
      </c>
      <c r="H210" s="2">
        <v>27170</v>
      </c>
      <c r="I210" t="s">
        <v>42</v>
      </c>
      <c r="J210" s="2">
        <v>8</v>
      </c>
      <c r="K210" t="s">
        <v>16</v>
      </c>
      <c r="L210" s="2">
        <v>4</v>
      </c>
      <c r="M210" t="s">
        <v>30</v>
      </c>
      <c r="N210" s="2">
        <v>5</v>
      </c>
    </row>
    <row r="211" spans="1:14">
      <c r="A211" t="s">
        <v>241</v>
      </c>
      <c r="B211" s="1" t="str">
        <f>"21-2021"</f>
        <v>21-2021</v>
      </c>
      <c r="C211" s="1">
        <v>160.8</v>
      </c>
      <c r="D211" s="1">
        <v>166.6</v>
      </c>
      <c r="E211" s="1">
        <v>5.8</v>
      </c>
      <c r="F211" s="1">
        <v>3.6</v>
      </c>
      <c r="G211" s="1">
        <v>17.7</v>
      </c>
      <c r="H211" s="2">
        <v>46980</v>
      </c>
      <c r="I211" t="s">
        <v>15</v>
      </c>
      <c r="J211" s="2">
        <v>3</v>
      </c>
      <c r="K211" t="s">
        <v>32</v>
      </c>
      <c r="L211" s="2">
        <v>2</v>
      </c>
      <c r="M211" t="s">
        <v>16</v>
      </c>
      <c r="N211" s="2">
        <v>6</v>
      </c>
    </row>
    <row r="212" spans="1:14">
      <c r="A212" t="s">
        <v>242</v>
      </c>
      <c r="B212" s="1" t="str">
        <f>"27-2091"</f>
        <v>27-2091</v>
      </c>
      <c r="C212" s="1">
        <v>15.3</v>
      </c>
      <c r="D212" s="1">
        <v>16.4</v>
      </c>
      <c r="E212" s="1">
        <v>1.1</v>
      </c>
      <c r="F212" s="1">
        <v>7.2</v>
      </c>
      <c r="G212" s="1">
        <v>1.4</v>
      </c>
      <c r="H212" s="2" t="s">
        <v>18</v>
      </c>
      <c r="I212" t="s">
        <v>25</v>
      </c>
      <c r="J212" s="2">
        <v>7</v>
      </c>
      <c r="K212" t="s">
        <v>16</v>
      </c>
      <c r="L212" s="2">
        <v>4</v>
      </c>
      <c r="M212" t="s">
        <v>30</v>
      </c>
      <c r="N212" s="2">
        <v>5</v>
      </c>
    </row>
    <row r="213" spans="1:14">
      <c r="A213" t="s">
        <v>243</v>
      </c>
      <c r="B213" s="1" t="str">
        <f>"35-9021"</f>
        <v>35-9021</v>
      </c>
      <c r="C213" s="1">
        <v>398.2</v>
      </c>
      <c r="D213" s="1">
        <v>437.6</v>
      </c>
      <c r="E213" s="1">
        <v>39.4</v>
      </c>
      <c r="F213" s="1">
        <v>9.9</v>
      </c>
      <c r="G213" s="1">
        <v>74.8</v>
      </c>
      <c r="H213" s="2">
        <v>28130</v>
      </c>
      <c r="I213" t="s">
        <v>42</v>
      </c>
      <c r="J213" s="2">
        <v>8</v>
      </c>
      <c r="K213" t="s">
        <v>16</v>
      </c>
      <c r="L213" s="2">
        <v>4</v>
      </c>
      <c r="M213" t="s">
        <v>30</v>
      </c>
      <c r="N213" s="2">
        <v>5</v>
      </c>
    </row>
    <row r="214" spans="1:14">
      <c r="A214" t="s">
        <v>244</v>
      </c>
      <c r="B214" s="1" t="str">
        <f>"43-5032"</f>
        <v>43-5032</v>
      </c>
      <c r="C214" s="1">
        <v>202.9</v>
      </c>
      <c r="D214" s="1">
        <v>203</v>
      </c>
      <c r="E214" s="1">
        <v>0.1</v>
      </c>
      <c r="F214" s="1">
        <v>0.1</v>
      </c>
      <c r="G214" s="1">
        <v>20.7</v>
      </c>
      <c r="H214" s="2">
        <v>44050</v>
      </c>
      <c r="I214" t="s">
        <v>25</v>
      </c>
      <c r="J214" s="2">
        <v>7</v>
      </c>
      <c r="K214" t="s">
        <v>16</v>
      </c>
      <c r="L214" s="2">
        <v>4</v>
      </c>
      <c r="M214" t="s">
        <v>26</v>
      </c>
      <c r="N214" s="2">
        <v>4</v>
      </c>
    </row>
    <row r="215" spans="1:14">
      <c r="A215" t="s">
        <v>245</v>
      </c>
      <c r="B215" s="1" t="str">
        <f>"41-9091"</f>
        <v>41-9091</v>
      </c>
      <c r="C215" s="1">
        <v>54.7</v>
      </c>
      <c r="D215" s="1">
        <v>49</v>
      </c>
      <c r="E215" s="1">
        <v>-5.7</v>
      </c>
      <c r="F215" s="1">
        <v>-10.4</v>
      </c>
      <c r="G215" s="1">
        <v>6.1</v>
      </c>
      <c r="H215" s="2">
        <v>29390</v>
      </c>
      <c r="I215" t="s">
        <v>42</v>
      </c>
      <c r="J215" s="2">
        <v>8</v>
      </c>
      <c r="K215" t="s">
        <v>16</v>
      </c>
      <c r="L215" s="2">
        <v>4</v>
      </c>
      <c r="M215" t="s">
        <v>30</v>
      </c>
      <c r="N215" s="2">
        <v>5</v>
      </c>
    </row>
    <row r="216" spans="1:14">
      <c r="A216" t="s">
        <v>246</v>
      </c>
      <c r="B216" s="1" t="str">
        <f>"17-3019"</f>
        <v>17-3019</v>
      </c>
      <c r="C216" s="1">
        <v>15.9</v>
      </c>
      <c r="D216" s="1">
        <v>14.7</v>
      </c>
      <c r="E216" s="1">
        <v>-1.2</v>
      </c>
      <c r="F216" s="1">
        <v>-7.6</v>
      </c>
      <c r="G216" s="1">
        <v>1.3</v>
      </c>
      <c r="H216" s="2">
        <v>54240</v>
      </c>
      <c r="I216" t="s">
        <v>37</v>
      </c>
      <c r="J216" s="2">
        <v>4</v>
      </c>
      <c r="K216" t="s">
        <v>16</v>
      </c>
      <c r="L216" s="2">
        <v>4</v>
      </c>
      <c r="M216" t="s">
        <v>16</v>
      </c>
      <c r="N216" s="2">
        <v>6</v>
      </c>
    </row>
    <row r="217" spans="1:14">
      <c r="A217" t="s">
        <v>247</v>
      </c>
      <c r="B217" s="1" t="str">
        <f>"53-7031"</f>
        <v>53-7031</v>
      </c>
      <c r="C217" s="1">
        <v>2</v>
      </c>
      <c r="D217" s="1">
        <v>2.1</v>
      </c>
      <c r="E217" s="1">
        <v>0.1</v>
      </c>
      <c r="F217" s="1">
        <v>2.9</v>
      </c>
      <c r="G217" s="1">
        <v>0.3</v>
      </c>
      <c r="H217" s="2">
        <v>46210</v>
      </c>
      <c r="I217" t="s">
        <v>25</v>
      </c>
      <c r="J217" s="2">
        <v>7</v>
      </c>
      <c r="K217" t="s">
        <v>16</v>
      </c>
      <c r="L217" s="2">
        <v>4</v>
      </c>
      <c r="M217" t="s">
        <v>26</v>
      </c>
      <c r="N217" s="2">
        <v>4</v>
      </c>
    </row>
    <row r="218" spans="1:14">
      <c r="A218" t="s">
        <v>248</v>
      </c>
      <c r="B218" s="1" t="str">
        <f>"51-4032"</f>
        <v>51-4032</v>
      </c>
      <c r="C218" s="1">
        <v>6.9</v>
      </c>
      <c r="D218" s="1">
        <v>5.6</v>
      </c>
      <c r="E218" s="1">
        <v>-1.3</v>
      </c>
      <c r="F218" s="1">
        <v>-18.6</v>
      </c>
      <c r="G218" s="1">
        <v>0.7</v>
      </c>
      <c r="H218" s="2">
        <v>38580</v>
      </c>
      <c r="I218" t="s">
        <v>25</v>
      </c>
      <c r="J218" s="2">
        <v>7</v>
      </c>
      <c r="K218" t="s">
        <v>16</v>
      </c>
      <c r="L218" s="2">
        <v>4</v>
      </c>
      <c r="M218" t="s">
        <v>26</v>
      </c>
      <c r="N218" s="2">
        <v>4</v>
      </c>
    </row>
    <row r="219" spans="1:14">
      <c r="A219" t="s">
        <v>249</v>
      </c>
      <c r="B219" s="1" t="str">
        <f>"53-3031"</f>
        <v>53-3031</v>
      </c>
      <c r="C219" s="1">
        <v>531</v>
      </c>
      <c r="D219" s="1">
        <v>594.5</v>
      </c>
      <c r="E219" s="1">
        <v>63.5</v>
      </c>
      <c r="F219" s="1">
        <v>12</v>
      </c>
      <c r="G219" s="1">
        <v>72.3</v>
      </c>
      <c r="H219" s="2">
        <v>29280</v>
      </c>
      <c r="I219" t="s">
        <v>25</v>
      </c>
      <c r="J219" s="2">
        <v>7</v>
      </c>
      <c r="K219" t="s">
        <v>16</v>
      </c>
      <c r="L219" s="2">
        <v>4</v>
      </c>
      <c r="M219" t="s">
        <v>30</v>
      </c>
      <c r="N219" s="2">
        <v>5</v>
      </c>
    </row>
    <row r="220" spans="1:14">
      <c r="A220" t="s">
        <v>250</v>
      </c>
      <c r="B220" s="1" t="str">
        <f>"47-2081"</f>
        <v>47-2081</v>
      </c>
      <c r="C220" s="1">
        <v>111.6</v>
      </c>
      <c r="D220" s="1">
        <v>115.7</v>
      </c>
      <c r="E220" s="1">
        <v>4.1</v>
      </c>
      <c r="F220" s="1">
        <v>3.7</v>
      </c>
      <c r="G220" s="1">
        <v>9.6</v>
      </c>
      <c r="H220" s="2">
        <v>48040</v>
      </c>
      <c r="I220" t="s">
        <v>42</v>
      </c>
      <c r="J220" s="2">
        <v>8</v>
      </c>
      <c r="K220" t="s">
        <v>16</v>
      </c>
      <c r="L220" s="2">
        <v>4</v>
      </c>
      <c r="M220" t="s">
        <v>26</v>
      </c>
      <c r="N220" s="2">
        <v>4</v>
      </c>
    </row>
    <row r="221" spans="1:14">
      <c r="A221" t="s">
        <v>251</v>
      </c>
      <c r="B221" s="1" t="str">
        <f>"47-5023"</f>
        <v>47-5023</v>
      </c>
      <c r="C221" s="1">
        <v>16.3</v>
      </c>
      <c r="D221" s="1">
        <v>17.8</v>
      </c>
      <c r="E221" s="1">
        <v>1.5</v>
      </c>
      <c r="F221" s="1">
        <v>9.1</v>
      </c>
      <c r="G221" s="1">
        <v>1.9</v>
      </c>
      <c r="H221" s="2">
        <v>48250</v>
      </c>
      <c r="I221" t="s">
        <v>25</v>
      </c>
      <c r="J221" s="2">
        <v>7</v>
      </c>
      <c r="K221" t="s">
        <v>32</v>
      </c>
      <c r="L221" s="2">
        <v>2</v>
      </c>
      <c r="M221" t="s">
        <v>20</v>
      </c>
      <c r="N221" s="2">
        <v>3</v>
      </c>
    </row>
    <row r="222" spans="1:14">
      <c r="A222" t="s">
        <v>252</v>
      </c>
      <c r="B222" s="1" t="str">
        <f>"25-1063"</f>
        <v>25-1063</v>
      </c>
      <c r="C222" s="1">
        <v>15.3</v>
      </c>
      <c r="D222" s="1">
        <v>16.6</v>
      </c>
      <c r="E222" s="1">
        <v>1.3</v>
      </c>
      <c r="F222" s="1">
        <v>8.4</v>
      </c>
      <c r="G222" s="1">
        <v>1.5</v>
      </c>
      <c r="H222" s="2">
        <v>104940</v>
      </c>
      <c r="I222" t="s">
        <v>28</v>
      </c>
      <c r="J222" s="2">
        <v>1</v>
      </c>
      <c r="K222" t="s">
        <v>16</v>
      </c>
      <c r="L222" s="2">
        <v>4</v>
      </c>
      <c r="M222" t="s">
        <v>16</v>
      </c>
      <c r="N222" s="2">
        <v>6</v>
      </c>
    </row>
    <row r="223" spans="1:14">
      <c r="A223" t="s">
        <v>253</v>
      </c>
      <c r="B223" s="1" t="str">
        <f>"19-3011"</f>
        <v>19-3011</v>
      </c>
      <c r="C223" s="1">
        <v>16.9</v>
      </c>
      <c r="D223" s="1">
        <v>17.8</v>
      </c>
      <c r="E223" s="1">
        <v>1</v>
      </c>
      <c r="F223" s="1">
        <v>5.7</v>
      </c>
      <c r="G223" s="1">
        <v>1.4</v>
      </c>
      <c r="H223" s="2">
        <v>105630</v>
      </c>
      <c r="I223" t="s">
        <v>23</v>
      </c>
      <c r="J223" s="2">
        <v>2</v>
      </c>
      <c r="K223" t="s">
        <v>16</v>
      </c>
      <c r="L223" s="2">
        <v>4</v>
      </c>
      <c r="M223" t="s">
        <v>16</v>
      </c>
      <c r="N223" s="2">
        <v>6</v>
      </c>
    </row>
    <row r="224" spans="1:14">
      <c r="A224" t="s">
        <v>254</v>
      </c>
      <c r="B224" s="1" t="str">
        <f>"27-3041"</f>
        <v>27-3041</v>
      </c>
      <c r="C224" s="1">
        <v>108.4</v>
      </c>
      <c r="D224" s="1">
        <v>102.9</v>
      </c>
      <c r="E224" s="1">
        <v>-5.5</v>
      </c>
      <c r="F224" s="1">
        <v>-5.1</v>
      </c>
      <c r="G224" s="1">
        <v>10.2</v>
      </c>
      <c r="H224" s="2">
        <v>63350</v>
      </c>
      <c r="I224" t="s">
        <v>15</v>
      </c>
      <c r="J224" s="2">
        <v>3</v>
      </c>
      <c r="K224" t="s">
        <v>32</v>
      </c>
      <c r="L224" s="2">
        <v>2</v>
      </c>
      <c r="M224" t="s">
        <v>16</v>
      </c>
      <c r="N224" s="2">
        <v>6</v>
      </c>
    </row>
    <row r="225" spans="1:14">
      <c r="A225" t="s">
        <v>255</v>
      </c>
      <c r="B225" s="1" t="str">
        <f>"11-9039"</f>
        <v>11-9039</v>
      </c>
      <c r="C225" s="1">
        <v>60.8</v>
      </c>
      <c r="D225" s="1">
        <v>66.8</v>
      </c>
      <c r="E225" s="1">
        <v>6</v>
      </c>
      <c r="F225" s="1">
        <v>9.9</v>
      </c>
      <c r="G225" s="1">
        <v>5.3</v>
      </c>
      <c r="H225" s="2">
        <v>90560</v>
      </c>
      <c r="I225" t="s">
        <v>15</v>
      </c>
      <c r="J225" s="2">
        <v>3</v>
      </c>
      <c r="K225" t="s">
        <v>32</v>
      </c>
      <c r="L225" s="2">
        <v>2</v>
      </c>
      <c r="M225" t="s">
        <v>16</v>
      </c>
      <c r="N225" s="2">
        <v>6</v>
      </c>
    </row>
    <row r="226" spans="1:14">
      <c r="A226" t="s">
        <v>256</v>
      </c>
      <c r="B226" s="1" t="str">
        <f>"11-9032"</f>
        <v>11-9032</v>
      </c>
      <c r="C226" s="1">
        <v>292.2</v>
      </c>
      <c r="D226" s="1">
        <v>306.5</v>
      </c>
      <c r="E226" s="1">
        <v>14.2</v>
      </c>
      <c r="F226" s="1">
        <v>4.9</v>
      </c>
      <c r="G226" s="1">
        <v>23.5</v>
      </c>
      <c r="H226" s="2">
        <v>98420</v>
      </c>
      <c r="I226" t="s">
        <v>23</v>
      </c>
      <c r="J226" s="2">
        <v>2</v>
      </c>
      <c r="K226" t="s">
        <v>29</v>
      </c>
      <c r="L226" s="2">
        <v>1</v>
      </c>
      <c r="M226" t="s">
        <v>16</v>
      </c>
      <c r="N226" s="2">
        <v>6</v>
      </c>
    </row>
    <row r="227" spans="1:14">
      <c r="A227" t="s">
        <v>257</v>
      </c>
      <c r="B227" s="1" t="str">
        <f>"11-9033"</f>
        <v>11-9033</v>
      </c>
      <c r="C227" s="1">
        <v>210.1</v>
      </c>
      <c r="D227" s="1">
        <v>225.6</v>
      </c>
      <c r="E227" s="1">
        <v>15.5</v>
      </c>
      <c r="F227" s="1">
        <v>7.4</v>
      </c>
      <c r="G227" s="1">
        <v>17.6</v>
      </c>
      <c r="H227" s="2">
        <v>96910</v>
      </c>
      <c r="I227" t="s">
        <v>23</v>
      </c>
      <c r="J227" s="2">
        <v>2</v>
      </c>
      <c r="K227" t="s">
        <v>32</v>
      </c>
      <c r="L227" s="2">
        <v>2</v>
      </c>
      <c r="M227" t="s">
        <v>16</v>
      </c>
      <c r="N227" s="2">
        <v>6</v>
      </c>
    </row>
    <row r="228" spans="1:14">
      <c r="A228" t="s">
        <v>258</v>
      </c>
      <c r="B228" s="1" t="str">
        <f>"11-9031"</f>
        <v>11-9031</v>
      </c>
      <c r="C228" s="1">
        <v>74.6</v>
      </c>
      <c r="D228" s="1">
        <v>80.8</v>
      </c>
      <c r="E228" s="1">
        <v>6.2</v>
      </c>
      <c r="F228" s="1">
        <v>8.3</v>
      </c>
      <c r="G228" s="1">
        <v>6.4</v>
      </c>
      <c r="H228" s="2">
        <v>47310</v>
      </c>
      <c r="I228" t="s">
        <v>15</v>
      </c>
      <c r="J228" s="2">
        <v>3</v>
      </c>
      <c r="K228" t="s">
        <v>32</v>
      </c>
      <c r="L228" s="2">
        <v>2</v>
      </c>
      <c r="M228" t="s">
        <v>16</v>
      </c>
      <c r="N228" s="2">
        <v>6</v>
      </c>
    </row>
    <row r="229" spans="1:14">
      <c r="A229" t="s">
        <v>259</v>
      </c>
      <c r="B229" s="1" t="str">
        <f>"25-1081"</f>
        <v>25-1081</v>
      </c>
      <c r="C229" s="1">
        <v>76.7</v>
      </c>
      <c r="D229" s="1">
        <v>83.2</v>
      </c>
      <c r="E229" s="1">
        <v>6.5</v>
      </c>
      <c r="F229" s="1">
        <v>8.5</v>
      </c>
      <c r="G229" s="1">
        <v>7.3</v>
      </c>
      <c r="H229" s="2">
        <v>63910</v>
      </c>
      <c r="I229" t="s">
        <v>28</v>
      </c>
      <c r="J229" s="2">
        <v>1</v>
      </c>
      <c r="K229" t="s">
        <v>32</v>
      </c>
      <c r="L229" s="2">
        <v>2</v>
      </c>
      <c r="M229" t="s">
        <v>16</v>
      </c>
      <c r="N229" s="2">
        <v>6</v>
      </c>
    </row>
    <row r="230" spans="1:14">
      <c r="A230" t="s">
        <v>260</v>
      </c>
      <c r="B230" s="1" t="str">
        <f>"25-9099"</f>
        <v>25-9099</v>
      </c>
      <c r="C230" s="1">
        <v>179.7</v>
      </c>
      <c r="D230" s="1">
        <v>192.5</v>
      </c>
      <c r="E230" s="1">
        <v>12.8</v>
      </c>
      <c r="F230" s="1">
        <v>7.1</v>
      </c>
      <c r="G230" s="1">
        <v>18.2</v>
      </c>
      <c r="H230" s="2">
        <v>46300</v>
      </c>
      <c r="I230" t="s">
        <v>15</v>
      </c>
      <c r="J230" s="2">
        <v>3</v>
      </c>
      <c r="K230" t="s">
        <v>16</v>
      </c>
      <c r="L230" s="2">
        <v>4</v>
      </c>
      <c r="M230" t="s">
        <v>16</v>
      </c>
      <c r="N230" s="2">
        <v>6</v>
      </c>
    </row>
    <row r="231" spans="1:14">
      <c r="A231" t="s">
        <v>261</v>
      </c>
      <c r="B231" s="1" t="str">
        <f>"21-1012"</f>
        <v>21-1012</v>
      </c>
      <c r="C231" s="1">
        <v>336</v>
      </c>
      <c r="D231" s="1">
        <v>368.4</v>
      </c>
      <c r="E231" s="1">
        <v>32.4</v>
      </c>
      <c r="F231" s="1">
        <v>9.6</v>
      </c>
      <c r="G231" s="1">
        <v>32</v>
      </c>
      <c r="H231" s="2">
        <v>60510</v>
      </c>
      <c r="I231" t="s">
        <v>23</v>
      </c>
      <c r="J231" s="2">
        <v>2</v>
      </c>
      <c r="K231" t="s">
        <v>16</v>
      </c>
      <c r="L231" s="2">
        <v>4</v>
      </c>
      <c r="M231" t="s">
        <v>16</v>
      </c>
      <c r="N231" s="2">
        <v>6</v>
      </c>
    </row>
    <row r="232" spans="1:14">
      <c r="A232" t="s">
        <v>262</v>
      </c>
      <c r="B232" s="1" t="str">
        <f>"49-2092"</f>
        <v>49-2092</v>
      </c>
      <c r="C232" s="1">
        <v>17.4</v>
      </c>
      <c r="D232" s="1">
        <v>18.1</v>
      </c>
      <c r="E232" s="1">
        <v>0.7</v>
      </c>
      <c r="F232" s="1">
        <v>3.9</v>
      </c>
      <c r="G232" s="1">
        <v>1.5</v>
      </c>
      <c r="H232" s="2">
        <v>46910</v>
      </c>
      <c r="I232" t="s">
        <v>25</v>
      </c>
      <c r="J232" s="2">
        <v>7</v>
      </c>
      <c r="K232" t="s">
        <v>32</v>
      </c>
      <c r="L232" s="2">
        <v>2</v>
      </c>
      <c r="M232" t="s">
        <v>26</v>
      </c>
      <c r="N232" s="2">
        <v>4</v>
      </c>
    </row>
    <row r="233" spans="1:14">
      <c r="A233" t="s">
        <v>263</v>
      </c>
      <c r="B233" s="1" t="str">
        <f>"17-3023"</f>
        <v>17-3023</v>
      </c>
      <c r="C233" s="1">
        <v>105</v>
      </c>
      <c r="D233" s="1">
        <v>104.6</v>
      </c>
      <c r="E233" s="1">
        <v>-0.4</v>
      </c>
      <c r="F233" s="1">
        <v>-0.4</v>
      </c>
      <c r="G233" s="1">
        <v>11.1</v>
      </c>
      <c r="H233" s="2">
        <v>63640</v>
      </c>
      <c r="I233" t="s">
        <v>37</v>
      </c>
      <c r="J233" s="2">
        <v>4</v>
      </c>
      <c r="K233" t="s">
        <v>16</v>
      </c>
      <c r="L233" s="2">
        <v>4</v>
      </c>
      <c r="M233" t="s">
        <v>16</v>
      </c>
      <c r="N233" s="2">
        <v>6</v>
      </c>
    </row>
    <row r="234" spans="1:14">
      <c r="A234" t="s">
        <v>264</v>
      </c>
      <c r="B234" s="1" t="str">
        <f>"17-3012"</f>
        <v>17-3012</v>
      </c>
      <c r="C234" s="1">
        <v>21.5</v>
      </c>
      <c r="D234" s="1">
        <v>21.5</v>
      </c>
      <c r="E234" s="1">
        <v>0</v>
      </c>
      <c r="F234" s="1">
        <v>-0.1</v>
      </c>
      <c r="G234" s="1">
        <v>2</v>
      </c>
      <c r="H234" s="2">
        <v>61510</v>
      </c>
      <c r="I234" t="s">
        <v>37</v>
      </c>
      <c r="J234" s="2">
        <v>4</v>
      </c>
      <c r="K234" t="s">
        <v>16</v>
      </c>
      <c r="L234" s="2">
        <v>4</v>
      </c>
      <c r="M234" t="s">
        <v>16</v>
      </c>
      <c r="N234" s="2">
        <v>6</v>
      </c>
    </row>
    <row r="235" spans="1:14">
      <c r="A235" t="s">
        <v>265</v>
      </c>
      <c r="B235" s="1" t="str">
        <f>"49-2093"</f>
        <v>49-2093</v>
      </c>
      <c r="C235" s="1">
        <v>9.2</v>
      </c>
      <c r="D235" s="1">
        <v>9.5</v>
      </c>
      <c r="E235" s="1">
        <v>0.3</v>
      </c>
      <c r="F235" s="1">
        <v>3.5</v>
      </c>
      <c r="G235" s="1">
        <v>0.9</v>
      </c>
      <c r="H235" s="2">
        <v>77250</v>
      </c>
      <c r="I235" t="s">
        <v>50</v>
      </c>
      <c r="J235" s="2">
        <v>5</v>
      </c>
      <c r="K235" t="s">
        <v>16</v>
      </c>
      <c r="L235" s="2">
        <v>4</v>
      </c>
      <c r="M235" t="s">
        <v>20</v>
      </c>
      <c r="N235" s="2">
        <v>3</v>
      </c>
    </row>
    <row r="236" spans="1:14">
      <c r="A236" t="s">
        <v>266</v>
      </c>
      <c r="B236" s="1" t="str">
        <f>"49-2094"</f>
        <v>49-2094</v>
      </c>
      <c r="C236" s="1">
        <v>52.8</v>
      </c>
      <c r="D236" s="1">
        <v>54</v>
      </c>
      <c r="E236" s="1">
        <v>1.2</v>
      </c>
      <c r="F236" s="1">
        <v>2.2</v>
      </c>
      <c r="G236" s="1">
        <v>5</v>
      </c>
      <c r="H236" s="2">
        <v>61730</v>
      </c>
      <c r="I236" t="s">
        <v>50</v>
      </c>
      <c r="J236" s="2">
        <v>5</v>
      </c>
      <c r="K236" t="s">
        <v>16</v>
      </c>
      <c r="L236" s="2">
        <v>4</v>
      </c>
      <c r="M236" t="s">
        <v>20</v>
      </c>
      <c r="N236" s="2">
        <v>3</v>
      </c>
    </row>
    <row r="237" spans="1:14">
      <c r="A237" t="s">
        <v>267</v>
      </c>
      <c r="B237" s="1" t="str">
        <f>"49-2095"</f>
        <v>49-2095</v>
      </c>
      <c r="C237" s="1">
        <v>22.8</v>
      </c>
      <c r="D237" s="1">
        <v>21.7</v>
      </c>
      <c r="E237" s="1">
        <v>-1.1</v>
      </c>
      <c r="F237" s="1">
        <v>-5</v>
      </c>
      <c r="G237" s="1">
        <v>1.9</v>
      </c>
      <c r="H237" s="2">
        <v>93420</v>
      </c>
      <c r="I237" t="s">
        <v>50</v>
      </c>
      <c r="J237" s="2">
        <v>5</v>
      </c>
      <c r="K237" t="s">
        <v>32</v>
      </c>
      <c r="L237" s="2">
        <v>2</v>
      </c>
      <c r="M237" t="s">
        <v>26</v>
      </c>
      <c r="N237" s="2">
        <v>4</v>
      </c>
    </row>
    <row r="238" spans="1:14">
      <c r="A238" t="s">
        <v>268</v>
      </c>
      <c r="B238" s="1" t="str">
        <f>"17-2071"</f>
        <v>17-2071</v>
      </c>
      <c r="C238" s="1">
        <v>192.4</v>
      </c>
      <c r="D238" s="1">
        <v>195.5</v>
      </c>
      <c r="E238" s="1">
        <v>3.1</v>
      </c>
      <c r="F238" s="1">
        <v>1.6</v>
      </c>
      <c r="G238" s="1">
        <v>12.3</v>
      </c>
      <c r="H238" s="2">
        <v>100420</v>
      </c>
      <c r="I238" t="s">
        <v>15</v>
      </c>
      <c r="J238" s="2">
        <v>3</v>
      </c>
      <c r="K238" t="s">
        <v>16</v>
      </c>
      <c r="L238" s="2">
        <v>4</v>
      </c>
      <c r="M238" t="s">
        <v>16</v>
      </c>
      <c r="N238" s="2">
        <v>6</v>
      </c>
    </row>
    <row r="239" spans="1:14">
      <c r="A239" t="s">
        <v>269</v>
      </c>
      <c r="B239" s="1" t="str">
        <f>"49-9051"</f>
        <v>49-9051</v>
      </c>
      <c r="C239" s="1">
        <v>126.6</v>
      </c>
      <c r="D239" s="1">
        <v>130.7</v>
      </c>
      <c r="E239" s="1">
        <v>4</v>
      </c>
      <c r="F239" s="1">
        <v>3.2</v>
      </c>
      <c r="G239" s="1">
        <v>11.1</v>
      </c>
      <c r="H239" s="2">
        <v>78310</v>
      </c>
      <c r="I239" t="s">
        <v>25</v>
      </c>
      <c r="J239" s="2">
        <v>7</v>
      </c>
      <c r="K239" t="s">
        <v>16</v>
      </c>
      <c r="L239" s="2">
        <v>4</v>
      </c>
      <c r="M239" t="s">
        <v>20</v>
      </c>
      <c r="N239" s="2">
        <v>3</v>
      </c>
    </row>
    <row r="240" spans="1:14">
      <c r="A240" t="s">
        <v>270</v>
      </c>
      <c r="B240" s="1" t="str">
        <f>"51-2028"</f>
        <v>51-2028</v>
      </c>
      <c r="C240" s="1">
        <v>279.5</v>
      </c>
      <c r="D240" s="1">
        <v>285.5</v>
      </c>
      <c r="E240" s="1">
        <v>6</v>
      </c>
      <c r="F240" s="1">
        <v>2.2</v>
      </c>
      <c r="G240" s="1">
        <v>32.8</v>
      </c>
      <c r="H240" s="2">
        <v>37460</v>
      </c>
      <c r="I240" t="s">
        <v>25</v>
      </c>
      <c r="J240" s="2">
        <v>7</v>
      </c>
      <c r="K240" t="s">
        <v>16</v>
      </c>
      <c r="L240" s="2">
        <v>4</v>
      </c>
      <c r="M240" t="s">
        <v>26</v>
      </c>
      <c r="N240" s="2">
        <v>4</v>
      </c>
    </row>
    <row r="241" spans="1:14">
      <c r="A241" t="s">
        <v>271</v>
      </c>
      <c r="B241" s="1" t="str">
        <f>"47-2111"</f>
        <v>47-2111</v>
      </c>
      <c r="C241" s="1">
        <v>711.2</v>
      </c>
      <c r="D241" s="1">
        <v>761.4</v>
      </c>
      <c r="E241" s="1">
        <v>50.2</v>
      </c>
      <c r="F241" s="1">
        <v>7.1</v>
      </c>
      <c r="G241" s="1">
        <v>79.9</v>
      </c>
      <c r="H241" s="2">
        <v>60040</v>
      </c>
      <c r="I241" t="s">
        <v>25</v>
      </c>
      <c r="J241" s="2">
        <v>7</v>
      </c>
      <c r="K241" t="s">
        <v>16</v>
      </c>
      <c r="L241" s="2">
        <v>4</v>
      </c>
      <c r="M241" t="s">
        <v>104</v>
      </c>
      <c r="N241" s="2">
        <v>2</v>
      </c>
    </row>
    <row r="242" spans="1:14">
      <c r="A242" t="s">
        <v>272</v>
      </c>
      <c r="B242" s="1" t="str">
        <f>"17-3024"</f>
        <v>17-3024</v>
      </c>
      <c r="C242" s="1">
        <v>12.1</v>
      </c>
      <c r="D242" s="1">
        <v>11.6</v>
      </c>
      <c r="E242" s="1">
        <v>-0.4</v>
      </c>
      <c r="F242" s="1">
        <v>-3.6</v>
      </c>
      <c r="G242" s="1">
        <v>1.1</v>
      </c>
      <c r="H242" s="2">
        <v>60360</v>
      </c>
      <c r="I242" t="s">
        <v>37</v>
      </c>
      <c r="J242" s="2">
        <v>4</v>
      </c>
      <c r="K242" t="s">
        <v>16</v>
      </c>
      <c r="L242" s="2">
        <v>4</v>
      </c>
      <c r="M242" t="s">
        <v>16</v>
      </c>
      <c r="N242" s="2">
        <v>6</v>
      </c>
    </row>
    <row r="243" spans="1:14">
      <c r="A243" t="s">
        <v>273</v>
      </c>
      <c r="B243" s="1" t="str">
        <f>"49-2096"</f>
        <v>49-2096</v>
      </c>
      <c r="C243" s="1">
        <v>9.2</v>
      </c>
      <c r="D243" s="1">
        <v>7.1</v>
      </c>
      <c r="E243" s="1">
        <v>-2.2</v>
      </c>
      <c r="F243" s="1">
        <v>-23.4</v>
      </c>
      <c r="G243" s="1">
        <v>0.5</v>
      </c>
      <c r="H243" s="2">
        <v>40670</v>
      </c>
      <c r="I243" t="s">
        <v>25</v>
      </c>
      <c r="J243" s="2">
        <v>7</v>
      </c>
      <c r="K243" t="s">
        <v>16</v>
      </c>
      <c r="L243" s="2">
        <v>4</v>
      </c>
      <c r="M243" t="s">
        <v>26</v>
      </c>
      <c r="N243" s="2">
        <v>4</v>
      </c>
    </row>
    <row r="244" spans="1:14">
      <c r="A244" t="s">
        <v>274</v>
      </c>
      <c r="B244" s="1" t="str">
        <f>"17-2072"</f>
        <v>17-2072</v>
      </c>
      <c r="C244" s="1">
        <v>111.4</v>
      </c>
      <c r="D244" s="1">
        <v>118</v>
      </c>
      <c r="E244" s="1">
        <v>6.7</v>
      </c>
      <c r="F244" s="1">
        <v>6</v>
      </c>
      <c r="G244" s="1">
        <v>7.8</v>
      </c>
      <c r="H244" s="2">
        <v>104820</v>
      </c>
      <c r="I244" t="s">
        <v>15</v>
      </c>
      <c r="J244" s="2">
        <v>3</v>
      </c>
      <c r="K244" t="s">
        <v>16</v>
      </c>
      <c r="L244" s="2">
        <v>4</v>
      </c>
      <c r="M244" t="s">
        <v>16</v>
      </c>
      <c r="N244" s="2">
        <v>6</v>
      </c>
    </row>
    <row r="245" spans="1:14">
      <c r="A245" t="s">
        <v>275</v>
      </c>
      <c r="B245" s="1" t="str">
        <f>"25-2021"</f>
        <v>25-2021</v>
      </c>
      <c r="C245" s="1">
        <v>1362.3</v>
      </c>
      <c r="D245" s="1">
        <v>1417.1</v>
      </c>
      <c r="E245" s="1">
        <v>54.9</v>
      </c>
      <c r="F245" s="1">
        <v>4</v>
      </c>
      <c r="G245" s="1">
        <v>106.1</v>
      </c>
      <c r="H245" s="2">
        <v>61400</v>
      </c>
      <c r="I245" t="s">
        <v>15</v>
      </c>
      <c r="J245" s="2">
        <v>3</v>
      </c>
      <c r="K245" t="s">
        <v>16</v>
      </c>
      <c r="L245" s="2">
        <v>4</v>
      </c>
      <c r="M245" t="s">
        <v>16</v>
      </c>
      <c r="N245" s="2">
        <v>6</v>
      </c>
    </row>
    <row r="246" spans="1:14">
      <c r="A246" t="s">
        <v>276</v>
      </c>
      <c r="B246" s="1" t="str">
        <f>"47-4021"</f>
        <v>47-4021</v>
      </c>
      <c r="C246" s="1">
        <v>23.2</v>
      </c>
      <c r="D246" s="1">
        <v>23.9</v>
      </c>
      <c r="E246" s="1">
        <v>0.7</v>
      </c>
      <c r="F246" s="1">
        <v>2.9</v>
      </c>
      <c r="G246" s="1">
        <v>2.1</v>
      </c>
      <c r="H246" s="2">
        <v>97860</v>
      </c>
      <c r="I246" t="s">
        <v>25</v>
      </c>
      <c r="J246" s="2">
        <v>7</v>
      </c>
      <c r="K246" t="s">
        <v>16</v>
      </c>
      <c r="L246" s="2">
        <v>4</v>
      </c>
      <c r="M246" t="s">
        <v>104</v>
      </c>
      <c r="N246" s="2">
        <v>2</v>
      </c>
    </row>
    <row r="247" spans="1:14">
      <c r="A247" t="s">
        <v>277</v>
      </c>
      <c r="B247" s="1" t="str">
        <f>"43-4061"</f>
        <v>43-4061</v>
      </c>
      <c r="C247" s="1">
        <v>156.9</v>
      </c>
      <c r="D247" s="1">
        <v>156.9</v>
      </c>
      <c r="E247" s="1">
        <v>0</v>
      </c>
      <c r="F247" s="1">
        <v>0</v>
      </c>
      <c r="G247" s="1">
        <v>15.4</v>
      </c>
      <c r="H247" s="2">
        <v>47420</v>
      </c>
      <c r="I247" t="s">
        <v>25</v>
      </c>
      <c r="J247" s="2">
        <v>7</v>
      </c>
      <c r="K247" t="s">
        <v>16</v>
      </c>
      <c r="L247" s="2">
        <v>4</v>
      </c>
      <c r="M247" t="s">
        <v>26</v>
      </c>
      <c r="N247" s="2">
        <v>4</v>
      </c>
    </row>
    <row r="248" spans="1:14">
      <c r="A248" t="s">
        <v>278</v>
      </c>
      <c r="B248" s="1" t="str">
        <f>"39-4011"</f>
        <v>39-4011</v>
      </c>
      <c r="C248" s="1">
        <v>4.3</v>
      </c>
      <c r="D248" s="1">
        <v>4.4</v>
      </c>
      <c r="E248" s="1">
        <v>0.1</v>
      </c>
      <c r="F248" s="1">
        <v>3.5</v>
      </c>
      <c r="G248" s="1">
        <v>0.7</v>
      </c>
      <c r="H248" s="2">
        <v>47780</v>
      </c>
      <c r="I248" t="s">
        <v>37</v>
      </c>
      <c r="J248" s="2">
        <v>4</v>
      </c>
      <c r="K248" t="s">
        <v>16</v>
      </c>
      <c r="L248" s="2">
        <v>4</v>
      </c>
      <c r="M248" t="s">
        <v>20</v>
      </c>
      <c r="N248" s="2">
        <v>3</v>
      </c>
    </row>
    <row r="249" spans="1:14">
      <c r="A249" t="s">
        <v>279</v>
      </c>
      <c r="B249" s="1" t="str">
        <f>"11-9161"</f>
        <v>11-9161</v>
      </c>
      <c r="C249" s="1">
        <v>10.6</v>
      </c>
      <c r="D249" s="1">
        <v>10.9</v>
      </c>
      <c r="E249" s="1">
        <v>0.3</v>
      </c>
      <c r="F249" s="1">
        <v>2.5</v>
      </c>
      <c r="G249" s="1">
        <v>0.9</v>
      </c>
      <c r="H249" s="2">
        <v>76730</v>
      </c>
      <c r="I249" t="s">
        <v>15</v>
      </c>
      <c r="J249" s="2">
        <v>3</v>
      </c>
      <c r="K249" t="s">
        <v>29</v>
      </c>
      <c r="L249" s="2">
        <v>1</v>
      </c>
      <c r="M249" t="s">
        <v>16</v>
      </c>
      <c r="N249" s="2">
        <v>6</v>
      </c>
    </row>
    <row r="250" spans="1:14">
      <c r="A250" t="s">
        <v>280</v>
      </c>
      <c r="B250" s="1" t="str">
        <f>"29-2042"</f>
        <v>29-2042</v>
      </c>
      <c r="C250" s="1">
        <v>163.4</v>
      </c>
      <c r="D250" s="1">
        <v>174.8</v>
      </c>
      <c r="E250" s="1">
        <v>11.4</v>
      </c>
      <c r="F250" s="1">
        <v>7</v>
      </c>
      <c r="G250" s="1">
        <v>13.9</v>
      </c>
      <c r="H250" s="2">
        <v>35470</v>
      </c>
      <c r="I250" t="s">
        <v>50</v>
      </c>
      <c r="J250" s="2">
        <v>5</v>
      </c>
      <c r="K250" t="s">
        <v>16</v>
      </c>
      <c r="L250" s="2">
        <v>4</v>
      </c>
      <c r="M250" t="s">
        <v>16</v>
      </c>
      <c r="N250" s="2">
        <v>6</v>
      </c>
    </row>
    <row r="251" spans="1:14">
      <c r="A251" t="s">
        <v>281</v>
      </c>
      <c r="B251" s="1" t="str">
        <f>"29-1214"</f>
        <v>29-1214</v>
      </c>
      <c r="C251" s="1">
        <v>39.5</v>
      </c>
      <c r="D251" s="1">
        <v>40.8</v>
      </c>
      <c r="E251" s="1">
        <v>1.3</v>
      </c>
      <c r="F251" s="1">
        <v>3.3</v>
      </c>
      <c r="G251" s="1">
        <v>1.3</v>
      </c>
      <c r="H251" s="2" t="s">
        <v>58</v>
      </c>
      <c r="I251" t="s">
        <v>28</v>
      </c>
      <c r="J251" s="2">
        <v>1</v>
      </c>
      <c r="K251" t="s">
        <v>16</v>
      </c>
      <c r="L251" s="2">
        <v>4</v>
      </c>
      <c r="M251" t="s">
        <v>59</v>
      </c>
      <c r="N251" s="2">
        <v>1</v>
      </c>
    </row>
    <row r="252" spans="1:14">
      <c r="A252" t="s">
        <v>282</v>
      </c>
      <c r="B252" s="1" t="str">
        <f>"51-2031"</f>
        <v>51-2031</v>
      </c>
      <c r="C252" s="1">
        <v>47.3</v>
      </c>
      <c r="D252" s="1">
        <v>41.6</v>
      </c>
      <c r="E252" s="1">
        <v>-5.8</v>
      </c>
      <c r="F252" s="1">
        <v>-12.2</v>
      </c>
      <c r="G252" s="1">
        <v>5.7</v>
      </c>
      <c r="H252" s="2">
        <v>47440</v>
      </c>
      <c r="I252" t="s">
        <v>25</v>
      </c>
      <c r="J252" s="2">
        <v>7</v>
      </c>
      <c r="K252" t="s">
        <v>16</v>
      </c>
      <c r="L252" s="2">
        <v>4</v>
      </c>
      <c r="M252" t="s">
        <v>26</v>
      </c>
      <c r="N252" s="2">
        <v>4</v>
      </c>
    </row>
    <row r="253" spans="1:14">
      <c r="A253" t="s">
        <v>283</v>
      </c>
      <c r="B253" s="1" t="str">
        <f>"25-1032"</f>
        <v>25-1032</v>
      </c>
      <c r="C253" s="1">
        <v>45.8</v>
      </c>
      <c r="D253" s="1">
        <v>51.8</v>
      </c>
      <c r="E253" s="1">
        <v>6.1</v>
      </c>
      <c r="F253" s="1">
        <v>13.3</v>
      </c>
      <c r="G253" s="1">
        <v>4.7</v>
      </c>
      <c r="H253" s="2">
        <v>104940</v>
      </c>
      <c r="I253" t="s">
        <v>28</v>
      </c>
      <c r="J253" s="2">
        <v>1</v>
      </c>
      <c r="K253" t="s">
        <v>16</v>
      </c>
      <c r="L253" s="2">
        <v>4</v>
      </c>
      <c r="M253" t="s">
        <v>16</v>
      </c>
      <c r="N253" s="2">
        <v>6</v>
      </c>
    </row>
    <row r="254" spans="1:14">
      <c r="A254" t="s">
        <v>284</v>
      </c>
      <c r="B254" s="1" t="str">
        <f>"17-3029"</f>
        <v>17-3029</v>
      </c>
      <c r="C254" s="1">
        <v>77.3</v>
      </c>
      <c r="D254" s="1">
        <v>78.9</v>
      </c>
      <c r="E254" s="1">
        <v>1.6</v>
      </c>
      <c r="F254" s="1">
        <v>2.1</v>
      </c>
      <c r="G254" s="1">
        <v>7.8</v>
      </c>
      <c r="H254" s="2">
        <v>61950</v>
      </c>
      <c r="I254" t="s">
        <v>37</v>
      </c>
      <c r="J254" s="2">
        <v>4</v>
      </c>
      <c r="K254" t="s">
        <v>16</v>
      </c>
      <c r="L254" s="2">
        <v>4</v>
      </c>
      <c r="M254" t="s">
        <v>16</v>
      </c>
      <c r="N254" s="2">
        <v>6</v>
      </c>
    </row>
    <row r="255" spans="1:14">
      <c r="A255" t="s">
        <v>285</v>
      </c>
      <c r="B255" s="1" t="str">
        <f>"17-2199"</f>
        <v>17-2199</v>
      </c>
      <c r="C255" s="1">
        <v>168.6</v>
      </c>
      <c r="D255" s="1">
        <v>168.6</v>
      </c>
      <c r="E255" s="1">
        <v>0</v>
      </c>
      <c r="F255" s="1">
        <v>0</v>
      </c>
      <c r="G255" s="1">
        <v>10.8</v>
      </c>
      <c r="H255" s="2">
        <v>100640</v>
      </c>
      <c r="I255" t="s">
        <v>15</v>
      </c>
      <c r="J255" s="2">
        <v>3</v>
      </c>
      <c r="K255" t="s">
        <v>16</v>
      </c>
      <c r="L255" s="2">
        <v>4</v>
      </c>
      <c r="M255" t="s">
        <v>16</v>
      </c>
      <c r="N255" s="2">
        <v>6</v>
      </c>
    </row>
    <row r="256" spans="1:14">
      <c r="A256" t="s">
        <v>286</v>
      </c>
      <c r="B256" s="1" t="str">
        <f>"25-1123"</f>
        <v>25-1123</v>
      </c>
      <c r="C256" s="1">
        <v>72.4</v>
      </c>
      <c r="D256" s="1">
        <v>76.9</v>
      </c>
      <c r="E256" s="1">
        <v>4.6</v>
      </c>
      <c r="F256" s="1">
        <v>6.3</v>
      </c>
      <c r="G256" s="1">
        <v>6.7</v>
      </c>
      <c r="H256" s="2">
        <v>75930</v>
      </c>
      <c r="I256" t="s">
        <v>28</v>
      </c>
      <c r="J256" s="2">
        <v>1</v>
      </c>
      <c r="K256" t="s">
        <v>16</v>
      </c>
      <c r="L256" s="2">
        <v>4</v>
      </c>
      <c r="M256" t="s">
        <v>16</v>
      </c>
      <c r="N256" s="2">
        <v>6</v>
      </c>
    </row>
    <row r="257" spans="1:14">
      <c r="A257" t="s">
        <v>287</v>
      </c>
      <c r="B257" s="1" t="str">
        <f>"27-2099"</f>
        <v>27-2099</v>
      </c>
      <c r="C257" s="1">
        <v>33.5</v>
      </c>
      <c r="D257" s="1">
        <v>39.9</v>
      </c>
      <c r="E257" s="1">
        <v>6.4</v>
      </c>
      <c r="F257" s="1">
        <v>19</v>
      </c>
      <c r="G257" s="1">
        <v>4.7</v>
      </c>
      <c r="H257" s="2" t="s">
        <v>18</v>
      </c>
      <c r="I257" t="s">
        <v>42</v>
      </c>
      <c r="J257" s="2">
        <v>8</v>
      </c>
      <c r="K257" t="s">
        <v>16</v>
      </c>
      <c r="L257" s="2">
        <v>4</v>
      </c>
      <c r="M257" t="s">
        <v>30</v>
      </c>
      <c r="N257" s="2">
        <v>5</v>
      </c>
    </row>
    <row r="258" spans="1:14">
      <c r="A258" t="s">
        <v>288</v>
      </c>
      <c r="B258" s="1" t="str">
        <f>"11-9072"</f>
        <v>11-9072</v>
      </c>
      <c r="C258" s="1">
        <v>21.6</v>
      </c>
      <c r="D258" s="1">
        <v>25.2</v>
      </c>
      <c r="E258" s="1">
        <v>3.6</v>
      </c>
      <c r="F258" s="1">
        <v>16.5</v>
      </c>
      <c r="G258" s="1">
        <v>3</v>
      </c>
      <c r="H258" s="2">
        <v>62000</v>
      </c>
      <c r="I258" t="s">
        <v>15</v>
      </c>
      <c r="J258" s="2">
        <v>3</v>
      </c>
      <c r="K258" t="s">
        <v>32</v>
      </c>
      <c r="L258" s="2">
        <v>2</v>
      </c>
      <c r="M258" t="s">
        <v>16</v>
      </c>
      <c r="N258" s="2">
        <v>6</v>
      </c>
    </row>
    <row r="259" spans="1:14">
      <c r="A259" t="s">
        <v>289</v>
      </c>
      <c r="B259" s="1" t="str">
        <f>"39-3099"</f>
        <v>39-3099</v>
      </c>
      <c r="C259" s="1">
        <v>4.7</v>
      </c>
      <c r="D259" s="1">
        <v>5.8</v>
      </c>
      <c r="E259" s="1">
        <v>1.1</v>
      </c>
      <c r="F259" s="1">
        <v>23.2</v>
      </c>
      <c r="G259" s="1">
        <v>1.5</v>
      </c>
      <c r="H259" s="2">
        <v>24170</v>
      </c>
      <c r="I259" t="s">
        <v>25</v>
      </c>
      <c r="J259" s="2">
        <v>7</v>
      </c>
      <c r="K259" t="s">
        <v>16</v>
      </c>
      <c r="L259" s="2">
        <v>4</v>
      </c>
      <c r="M259" t="s">
        <v>30</v>
      </c>
      <c r="N259" s="2">
        <v>5</v>
      </c>
    </row>
    <row r="260" spans="1:14">
      <c r="A260" t="s">
        <v>290</v>
      </c>
      <c r="B260" s="1" t="str">
        <f>"17-3025"</f>
        <v>17-3025</v>
      </c>
      <c r="C260" s="1">
        <v>15.5</v>
      </c>
      <c r="D260" s="1">
        <v>16.1</v>
      </c>
      <c r="E260" s="1">
        <v>0.6</v>
      </c>
      <c r="F260" s="1">
        <v>4</v>
      </c>
      <c r="G260" s="1">
        <v>1.6</v>
      </c>
      <c r="H260" s="2">
        <v>48390</v>
      </c>
      <c r="I260" t="s">
        <v>37</v>
      </c>
      <c r="J260" s="2">
        <v>4</v>
      </c>
      <c r="K260" t="s">
        <v>16</v>
      </c>
      <c r="L260" s="2">
        <v>4</v>
      </c>
      <c r="M260" t="s">
        <v>16</v>
      </c>
      <c r="N260" s="2">
        <v>6</v>
      </c>
    </row>
    <row r="261" spans="1:14">
      <c r="A261" t="s">
        <v>291</v>
      </c>
      <c r="B261" s="1" t="str">
        <f>"17-2081"</f>
        <v>17-2081</v>
      </c>
      <c r="C261" s="1">
        <v>44</v>
      </c>
      <c r="D261" s="1">
        <v>45.8</v>
      </c>
      <c r="E261" s="1">
        <v>1.8</v>
      </c>
      <c r="F261" s="1">
        <v>4.2</v>
      </c>
      <c r="G261" s="1">
        <v>3.4</v>
      </c>
      <c r="H261" s="2">
        <v>96820</v>
      </c>
      <c r="I261" t="s">
        <v>15</v>
      </c>
      <c r="J261" s="2">
        <v>3</v>
      </c>
      <c r="K261" t="s">
        <v>16</v>
      </c>
      <c r="L261" s="2">
        <v>4</v>
      </c>
      <c r="M261" t="s">
        <v>16</v>
      </c>
      <c r="N261" s="2">
        <v>6</v>
      </c>
    </row>
    <row r="262" spans="1:14">
      <c r="A262" t="s">
        <v>292</v>
      </c>
      <c r="B262" s="1" t="str">
        <f>"19-4042"</f>
        <v>19-4042</v>
      </c>
      <c r="C262" s="1">
        <v>35.5</v>
      </c>
      <c r="D262" s="1">
        <v>37.6</v>
      </c>
      <c r="E262" s="1">
        <v>2.1</v>
      </c>
      <c r="F262" s="1">
        <v>5.9</v>
      </c>
      <c r="G262" s="1">
        <v>4</v>
      </c>
      <c r="H262" s="2">
        <v>47370</v>
      </c>
      <c r="I262" t="s">
        <v>37</v>
      </c>
      <c r="J262" s="2">
        <v>4</v>
      </c>
      <c r="K262" t="s">
        <v>16</v>
      </c>
      <c r="L262" s="2">
        <v>4</v>
      </c>
      <c r="M262" t="s">
        <v>16</v>
      </c>
      <c r="N262" s="2">
        <v>6</v>
      </c>
    </row>
    <row r="263" spans="1:14">
      <c r="A263" t="s">
        <v>293</v>
      </c>
      <c r="B263" s="1" t="str">
        <f>"25-1053"</f>
        <v>25-1053</v>
      </c>
      <c r="C263" s="1">
        <v>7.1</v>
      </c>
      <c r="D263" s="1">
        <v>7.6</v>
      </c>
      <c r="E263" s="1">
        <v>0.5</v>
      </c>
      <c r="F263" s="1">
        <v>7.7</v>
      </c>
      <c r="G263" s="1">
        <v>0.7</v>
      </c>
      <c r="H263" s="2">
        <v>81980</v>
      </c>
      <c r="I263" t="s">
        <v>28</v>
      </c>
      <c r="J263" s="2">
        <v>1</v>
      </c>
      <c r="K263" t="s">
        <v>16</v>
      </c>
      <c r="L263" s="2">
        <v>4</v>
      </c>
      <c r="M263" t="s">
        <v>16</v>
      </c>
      <c r="N263" s="2">
        <v>6</v>
      </c>
    </row>
    <row r="264" spans="1:14">
      <c r="A264" t="s">
        <v>294</v>
      </c>
      <c r="B264" s="1" t="str">
        <f>"19-2041"</f>
        <v>19-2041</v>
      </c>
      <c r="C264" s="1">
        <v>80</v>
      </c>
      <c r="D264" s="1">
        <v>83.8</v>
      </c>
      <c r="E264" s="1">
        <v>3.8</v>
      </c>
      <c r="F264" s="1">
        <v>4.7</v>
      </c>
      <c r="G264" s="1">
        <v>7.8</v>
      </c>
      <c r="H264" s="2">
        <v>76530</v>
      </c>
      <c r="I264" t="s">
        <v>15</v>
      </c>
      <c r="J264" s="2">
        <v>3</v>
      </c>
      <c r="K264" t="s">
        <v>16</v>
      </c>
      <c r="L264" s="2">
        <v>4</v>
      </c>
      <c r="M264" t="s">
        <v>16</v>
      </c>
      <c r="N264" s="2">
        <v>6</v>
      </c>
    </row>
    <row r="265" spans="1:14">
      <c r="A265" t="s">
        <v>295</v>
      </c>
      <c r="B265" s="1" t="str">
        <f>"19-1041"</f>
        <v>19-1041</v>
      </c>
      <c r="C265" s="1">
        <v>8.6</v>
      </c>
      <c r="D265" s="1">
        <v>10.9</v>
      </c>
      <c r="E265" s="1">
        <v>2.2</v>
      </c>
      <c r="F265" s="1">
        <v>25.8</v>
      </c>
      <c r="G265" s="1">
        <v>0.8</v>
      </c>
      <c r="H265" s="2">
        <v>78830</v>
      </c>
      <c r="I265" t="s">
        <v>23</v>
      </c>
      <c r="J265" s="2">
        <v>2</v>
      </c>
      <c r="K265" t="s">
        <v>16</v>
      </c>
      <c r="L265" s="2">
        <v>4</v>
      </c>
      <c r="M265" t="s">
        <v>16</v>
      </c>
      <c r="N265" s="2">
        <v>6</v>
      </c>
    </row>
    <row r="266" spans="1:14">
      <c r="A266" t="s">
        <v>296</v>
      </c>
      <c r="B266" s="1" t="str">
        <f>"51-9194"</f>
        <v>51-9194</v>
      </c>
      <c r="C266" s="1">
        <v>7.2</v>
      </c>
      <c r="D266" s="1">
        <v>7.5</v>
      </c>
      <c r="E266" s="1">
        <v>0.2</v>
      </c>
      <c r="F266" s="1">
        <v>3.1</v>
      </c>
      <c r="G266" s="1">
        <v>0.8</v>
      </c>
      <c r="H266" s="2">
        <v>36590</v>
      </c>
      <c r="I266" t="s">
        <v>25</v>
      </c>
      <c r="J266" s="2">
        <v>7</v>
      </c>
      <c r="K266" t="s">
        <v>16</v>
      </c>
      <c r="L266" s="2">
        <v>4</v>
      </c>
      <c r="M266" t="s">
        <v>26</v>
      </c>
      <c r="N266" s="2">
        <v>4</v>
      </c>
    </row>
    <row r="267" spans="1:14">
      <c r="A267" t="s">
        <v>297</v>
      </c>
      <c r="B267" s="1" t="str">
        <f>"47-5022"</f>
        <v>47-5022</v>
      </c>
      <c r="C267" s="1">
        <v>36.5</v>
      </c>
      <c r="D267" s="1">
        <v>36.5</v>
      </c>
      <c r="E267" s="1">
        <v>0</v>
      </c>
      <c r="F267" s="1">
        <v>-0.1</v>
      </c>
      <c r="G267" s="1">
        <v>3.8</v>
      </c>
      <c r="H267" s="2">
        <v>46740</v>
      </c>
      <c r="I267" t="s">
        <v>25</v>
      </c>
      <c r="J267" s="2">
        <v>7</v>
      </c>
      <c r="K267" t="s">
        <v>32</v>
      </c>
      <c r="L267" s="2">
        <v>2</v>
      </c>
      <c r="M267" t="s">
        <v>26</v>
      </c>
      <c r="N267" s="2">
        <v>4</v>
      </c>
    </row>
    <row r="268" spans="1:14">
      <c r="A268" t="s">
        <v>298</v>
      </c>
      <c r="B268" s="1" t="str">
        <f>"43-6011"</f>
        <v>43-6011</v>
      </c>
      <c r="C268" s="1">
        <v>508</v>
      </c>
      <c r="D268" s="1">
        <v>405.4</v>
      </c>
      <c r="E268" s="1">
        <v>-102.6</v>
      </c>
      <c r="F268" s="1">
        <v>-20.2</v>
      </c>
      <c r="G268" s="1">
        <v>42.3</v>
      </c>
      <c r="H268" s="2">
        <v>62060</v>
      </c>
      <c r="I268" t="s">
        <v>25</v>
      </c>
      <c r="J268" s="2">
        <v>7</v>
      </c>
      <c r="K268" t="s">
        <v>32</v>
      </c>
      <c r="L268" s="2">
        <v>2</v>
      </c>
      <c r="M268" t="s">
        <v>16</v>
      </c>
      <c r="N268" s="2">
        <v>6</v>
      </c>
    </row>
    <row r="269" spans="1:14">
      <c r="A269" t="s">
        <v>299</v>
      </c>
      <c r="B269" s="1" t="str">
        <f>"29-1128"</f>
        <v>29-1128</v>
      </c>
      <c r="C269" s="1">
        <v>21.4</v>
      </c>
      <c r="D269" s="1">
        <v>23.4</v>
      </c>
      <c r="E269" s="1">
        <v>1.9</v>
      </c>
      <c r="F269" s="1">
        <v>9.1</v>
      </c>
      <c r="G269" s="1">
        <v>1.7</v>
      </c>
      <c r="H269" s="2">
        <v>47940</v>
      </c>
      <c r="I269" t="s">
        <v>15</v>
      </c>
      <c r="J269" s="2">
        <v>3</v>
      </c>
      <c r="K269" t="s">
        <v>16</v>
      </c>
      <c r="L269" s="2">
        <v>4</v>
      </c>
      <c r="M269" t="s">
        <v>16</v>
      </c>
      <c r="N269" s="2">
        <v>6</v>
      </c>
    </row>
    <row r="270" spans="1:14">
      <c r="A270" t="s">
        <v>300</v>
      </c>
      <c r="B270" s="1" t="str">
        <f>"39-9031"</f>
        <v>39-9031</v>
      </c>
      <c r="C270" s="1">
        <v>306.4</v>
      </c>
      <c r="D270" s="1">
        <v>364.2</v>
      </c>
      <c r="E270" s="1">
        <v>57.8</v>
      </c>
      <c r="F270" s="1">
        <v>18.9</v>
      </c>
      <c r="G270" s="1">
        <v>65.5</v>
      </c>
      <c r="H270" s="2">
        <v>40700</v>
      </c>
      <c r="I270" t="s">
        <v>25</v>
      </c>
      <c r="J270" s="2">
        <v>7</v>
      </c>
      <c r="K270" t="s">
        <v>16</v>
      </c>
      <c r="L270" s="2">
        <v>4</v>
      </c>
      <c r="M270" t="s">
        <v>30</v>
      </c>
      <c r="N270" s="2">
        <v>5</v>
      </c>
    </row>
    <row r="271" spans="1:14">
      <c r="A271" t="s">
        <v>301</v>
      </c>
      <c r="B271" s="1" t="str">
        <f>"47-5032"</f>
        <v>47-5032</v>
      </c>
      <c r="C271" s="1">
        <v>7.1</v>
      </c>
      <c r="D271" s="1">
        <v>7.2</v>
      </c>
      <c r="E271" s="1">
        <v>0.1</v>
      </c>
      <c r="F271" s="1">
        <v>1.5</v>
      </c>
      <c r="G271" s="1">
        <v>0.7</v>
      </c>
      <c r="H271" s="2">
        <v>53040</v>
      </c>
      <c r="I271" t="s">
        <v>25</v>
      </c>
      <c r="J271" s="2">
        <v>7</v>
      </c>
      <c r="K271" t="s">
        <v>32</v>
      </c>
      <c r="L271" s="2">
        <v>2</v>
      </c>
      <c r="M271" t="s">
        <v>20</v>
      </c>
      <c r="N271" s="2">
        <v>3</v>
      </c>
    </row>
    <row r="272" spans="1:14">
      <c r="A272" t="s">
        <v>302</v>
      </c>
      <c r="B272" s="1" t="str">
        <f>"47-5099"</f>
        <v>47-5099</v>
      </c>
      <c r="C272" s="1">
        <v>5.6</v>
      </c>
      <c r="D272" s="1">
        <v>6.1</v>
      </c>
      <c r="E272" s="1">
        <v>0.6</v>
      </c>
      <c r="F272" s="1">
        <v>10.3</v>
      </c>
      <c r="G272" s="1">
        <v>0.7</v>
      </c>
      <c r="H272" s="2">
        <v>48140</v>
      </c>
      <c r="I272" t="s">
        <v>25</v>
      </c>
      <c r="J272" s="2">
        <v>7</v>
      </c>
      <c r="K272" t="s">
        <v>16</v>
      </c>
      <c r="L272" s="2">
        <v>4</v>
      </c>
      <c r="M272" t="s">
        <v>26</v>
      </c>
      <c r="N272" s="2">
        <v>4</v>
      </c>
    </row>
    <row r="273" spans="1:14">
      <c r="A273" t="s">
        <v>303</v>
      </c>
      <c r="B273" s="1" t="str">
        <f>"51-4021"</f>
        <v>51-4021</v>
      </c>
      <c r="C273" s="1">
        <v>60.6</v>
      </c>
      <c r="D273" s="1">
        <v>61</v>
      </c>
      <c r="E273" s="1">
        <v>0.4</v>
      </c>
      <c r="F273" s="1">
        <v>0.7</v>
      </c>
      <c r="G273" s="1">
        <v>6.6</v>
      </c>
      <c r="H273" s="2">
        <v>37750</v>
      </c>
      <c r="I273" t="s">
        <v>25</v>
      </c>
      <c r="J273" s="2">
        <v>7</v>
      </c>
      <c r="K273" t="s">
        <v>16</v>
      </c>
      <c r="L273" s="2">
        <v>4</v>
      </c>
      <c r="M273" t="s">
        <v>26</v>
      </c>
      <c r="N273" s="2">
        <v>4</v>
      </c>
    </row>
    <row r="274" spans="1:14">
      <c r="A274" t="s">
        <v>304</v>
      </c>
      <c r="B274" s="1" t="str">
        <f>"51-6091"</f>
        <v>51-6091</v>
      </c>
      <c r="C274" s="1">
        <v>14.4</v>
      </c>
      <c r="D274" s="1">
        <v>13.7</v>
      </c>
      <c r="E274" s="1">
        <v>-0.6</v>
      </c>
      <c r="F274" s="1">
        <v>-4.2</v>
      </c>
      <c r="G274" s="1">
        <v>1.5</v>
      </c>
      <c r="H274" s="2">
        <v>37550</v>
      </c>
      <c r="I274" t="s">
        <v>25</v>
      </c>
      <c r="J274" s="2">
        <v>7</v>
      </c>
      <c r="K274" t="s">
        <v>16</v>
      </c>
      <c r="L274" s="2">
        <v>4</v>
      </c>
      <c r="M274" t="s">
        <v>26</v>
      </c>
      <c r="N274" s="2">
        <v>4</v>
      </c>
    </row>
    <row r="275" spans="1:14">
      <c r="A275" t="s">
        <v>305</v>
      </c>
      <c r="B275" s="1" t="str">
        <f>"51-9041"</f>
        <v>51-9041</v>
      </c>
      <c r="C275" s="1">
        <v>58.4</v>
      </c>
      <c r="D275" s="1">
        <v>60.8</v>
      </c>
      <c r="E275" s="1">
        <v>2.5</v>
      </c>
      <c r="F275" s="1">
        <v>4.2</v>
      </c>
      <c r="G275" s="1">
        <v>6.3</v>
      </c>
      <c r="H275" s="2">
        <v>37660</v>
      </c>
      <c r="I275" t="s">
        <v>25</v>
      </c>
      <c r="J275" s="2">
        <v>7</v>
      </c>
      <c r="K275" t="s">
        <v>16</v>
      </c>
      <c r="L275" s="2">
        <v>4</v>
      </c>
      <c r="M275" t="s">
        <v>26</v>
      </c>
      <c r="N275" s="2">
        <v>4</v>
      </c>
    </row>
    <row r="276" spans="1:14">
      <c r="A276" t="s">
        <v>306</v>
      </c>
      <c r="B276" s="1" t="str">
        <f>"51-6092"</f>
        <v>51-6092</v>
      </c>
      <c r="C276" s="1">
        <v>3.2</v>
      </c>
      <c r="D276" s="1">
        <v>2.8</v>
      </c>
      <c r="E276" s="1">
        <v>-0.4</v>
      </c>
      <c r="F276" s="1">
        <v>-12.7</v>
      </c>
      <c r="G276" s="1">
        <v>0.3</v>
      </c>
      <c r="H276" s="2">
        <v>58650</v>
      </c>
      <c r="I276" t="s">
        <v>25</v>
      </c>
      <c r="J276" s="2">
        <v>7</v>
      </c>
      <c r="K276" t="s">
        <v>16</v>
      </c>
      <c r="L276" s="2">
        <v>4</v>
      </c>
      <c r="M276" t="s">
        <v>26</v>
      </c>
      <c r="N276" s="2">
        <v>4</v>
      </c>
    </row>
    <row r="277" spans="1:14">
      <c r="A277" t="s">
        <v>307</v>
      </c>
      <c r="B277" s="1" t="str">
        <f>"11-3013"</f>
        <v>11-3013</v>
      </c>
      <c r="C277" s="1">
        <v>109.1</v>
      </c>
      <c r="D277" s="1">
        <v>116.6</v>
      </c>
      <c r="E277" s="1">
        <v>7.6</v>
      </c>
      <c r="F277" s="1">
        <v>6.9</v>
      </c>
      <c r="G277" s="1">
        <v>9.9</v>
      </c>
      <c r="H277" s="2">
        <v>97930</v>
      </c>
      <c r="I277" t="s">
        <v>15</v>
      </c>
      <c r="J277" s="2">
        <v>3</v>
      </c>
      <c r="K277" t="s">
        <v>32</v>
      </c>
      <c r="L277" s="2">
        <v>2</v>
      </c>
      <c r="M277" t="s">
        <v>16</v>
      </c>
      <c r="N277" s="2">
        <v>6</v>
      </c>
    </row>
    <row r="278" spans="1:14">
      <c r="A278" t="s">
        <v>308</v>
      </c>
      <c r="B278" s="1" t="str">
        <f>"45-4021"</f>
        <v>45-4021</v>
      </c>
      <c r="C278" s="1">
        <v>5.6</v>
      </c>
      <c r="D278" s="1">
        <v>5.1</v>
      </c>
      <c r="E278" s="1">
        <v>-0.5</v>
      </c>
      <c r="F278" s="1">
        <v>-9.1</v>
      </c>
      <c r="G278" s="1">
        <v>0.8</v>
      </c>
      <c r="H278" s="2">
        <v>47700</v>
      </c>
      <c r="I278" t="s">
        <v>25</v>
      </c>
      <c r="J278" s="2">
        <v>7</v>
      </c>
      <c r="K278" t="s">
        <v>16</v>
      </c>
      <c r="L278" s="2">
        <v>4</v>
      </c>
      <c r="M278" t="s">
        <v>26</v>
      </c>
      <c r="N278" s="2">
        <v>4</v>
      </c>
    </row>
    <row r="279" spans="1:14">
      <c r="A279" t="s">
        <v>309</v>
      </c>
      <c r="B279" s="1" t="str">
        <f>"25-1192"</f>
        <v>25-1192</v>
      </c>
      <c r="C279" s="1">
        <v>3.4</v>
      </c>
      <c r="D279" s="1">
        <v>3.6</v>
      </c>
      <c r="E279" s="1">
        <v>0.2</v>
      </c>
      <c r="F279" s="1">
        <v>6.6</v>
      </c>
      <c r="G279" s="1">
        <v>0.3</v>
      </c>
      <c r="H279" s="2">
        <v>79630</v>
      </c>
      <c r="I279" t="s">
        <v>28</v>
      </c>
      <c r="J279" s="2">
        <v>1</v>
      </c>
      <c r="K279" t="s">
        <v>16</v>
      </c>
      <c r="L279" s="2">
        <v>4</v>
      </c>
      <c r="M279" t="s">
        <v>16</v>
      </c>
      <c r="N279" s="2">
        <v>6</v>
      </c>
    </row>
    <row r="280" spans="1:14">
      <c r="A280" t="s">
        <v>310</v>
      </c>
      <c r="B280" s="1" t="str">
        <f>"29-1215"</f>
        <v>29-1215</v>
      </c>
      <c r="C280" s="1">
        <v>112.2</v>
      </c>
      <c r="D280" s="1">
        <v>115.9</v>
      </c>
      <c r="E280" s="1">
        <v>3.7</v>
      </c>
      <c r="F280" s="1">
        <v>3.3</v>
      </c>
      <c r="G280" s="1">
        <v>3.6</v>
      </c>
      <c r="H280" s="2" t="s">
        <v>58</v>
      </c>
      <c r="I280" t="s">
        <v>28</v>
      </c>
      <c r="J280" s="2">
        <v>1</v>
      </c>
      <c r="K280" t="s">
        <v>16</v>
      </c>
      <c r="L280" s="2">
        <v>4</v>
      </c>
      <c r="M280" t="s">
        <v>59</v>
      </c>
      <c r="N280" s="2">
        <v>1</v>
      </c>
    </row>
    <row r="281" spans="1:14">
      <c r="A281" t="s">
        <v>311</v>
      </c>
      <c r="B281" s="1" t="str">
        <f>"25-9021"</f>
        <v>25-9021</v>
      </c>
      <c r="C281" s="1">
        <v>13.1</v>
      </c>
      <c r="D281" s="1">
        <v>13.2</v>
      </c>
      <c r="E281" s="1">
        <v>0.1</v>
      </c>
      <c r="F281" s="1">
        <v>0.5</v>
      </c>
      <c r="G281" s="1">
        <v>1.2</v>
      </c>
      <c r="H281" s="2">
        <v>49990</v>
      </c>
      <c r="I281" t="s">
        <v>23</v>
      </c>
      <c r="J281" s="2">
        <v>2</v>
      </c>
      <c r="K281" t="s">
        <v>16</v>
      </c>
      <c r="L281" s="2">
        <v>4</v>
      </c>
      <c r="M281" t="s">
        <v>16</v>
      </c>
      <c r="N281" s="2">
        <v>6</v>
      </c>
    </row>
    <row r="282" spans="1:14">
      <c r="A282" t="s">
        <v>312</v>
      </c>
      <c r="B282" s="1" t="str">
        <f>"49-3041"</f>
        <v>49-3041</v>
      </c>
      <c r="C282" s="1">
        <v>49.5</v>
      </c>
      <c r="D282" s="1">
        <v>54.8</v>
      </c>
      <c r="E282" s="1">
        <v>5.3</v>
      </c>
      <c r="F282" s="1">
        <v>10.7</v>
      </c>
      <c r="G282" s="1">
        <v>5.5</v>
      </c>
      <c r="H282" s="2">
        <v>46910</v>
      </c>
      <c r="I282" t="s">
        <v>25</v>
      </c>
      <c r="J282" s="2">
        <v>7</v>
      </c>
      <c r="K282" t="s">
        <v>16</v>
      </c>
      <c r="L282" s="2">
        <v>4</v>
      </c>
      <c r="M282" t="s">
        <v>20</v>
      </c>
      <c r="N282" s="2">
        <v>3</v>
      </c>
    </row>
    <row r="283" spans="1:14">
      <c r="A283" t="s">
        <v>313</v>
      </c>
      <c r="B283" s="1" t="str">
        <f>"13-1074"</f>
        <v>13-1074</v>
      </c>
      <c r="C283" s="1">
        <v>1.2</v>
      </c>
      <c r="D283" s="1">
        <v>1.5</v>
      </c>
      <c r="E283" s="1">
        <v>0.3</v>
      </c>
      <c r="F283" s="1">
        <v>22.3</v>
      </c>
      <c r="G283" s="1">
        <v>0.2</v>
      </c>
      <c r="H283" s="2">
        <v>47770</v>
      </c>
      <c r="I283" t="s">
        <v>42</v>
      </c>
      <c r="J283" s="2">
        <v>8</v>
      </c>
      <c r="K283" t="s">
        <v>32</v>
      </c>
      <c r="L283" s="2">
        <v>2</v>
      </c>
      <c r="M283" t="s">
        <v>30</v>
      </c>
      <c r="N283" s="2">
        <v>5</v>
      </c>
    </row>
    <row r="284" spans="1:14">
      <c r="A284" t="s">
        <v>314</v>
      </c>
      <c r="B284" s="1" t="str">
        <f>"11-9013"</f>
        <v>11-9013</v>
      </c>
      <c r="C284" s="1">
        <v>847.6</v>
      </c>
      <c r="D284" s="1">
        <v>824</v>
      </c>
      <c r="E284" s="1">
        <v>-23.6</v>
      </c>
      <c r="F284" s="1">
        <v>-2.8</v>
      </c>
      <c r="G284" s="1">
        <v>85.6</v>
      </c>
      <c r="H284" s="2">
        <v>73060</v>
      </c>
      <c r="I284" t="s">
        <v>25</v>
      </c>
      <c r="J284" s="2">
        <v>7</v>
      </c>
      <c r="K284" t="s">
        <v>29</v>
      </c>
      <c r="L284" s="2">
        <v>1</v>
      </c>
      <c r="M284" t="s">
        <v>16</v>
      </c>
      <c r="N284" s="2">
        <v>6</v>
      </c>
    </row>
    <row r="285" spans="1:14">
      <c r="A285" t="s">
        <v>315</v>
      </c>
      <c r="B285" s="1" t="str">
        <f>"45-2092"</f>
        <v>45-2092</v>
      </c>
      <c r="C285" s="1">
        <v>562.9</v>
      </c>
      <c r="D285" s="1">
        <v>575.7</v>
      </c>
      <c r="E285" s="1">
        <v>12.8</v>
      </c>
      <c r="F285" s="1">
        <v>2.3</v>
      </c>
      <c r="G285" s="1">
        <v>92.6</v>
      </c>
      <c r="H285" s="2">
        <v>29630</v>
      </c>
      <c r="I285" t="s">
        <v>42</v>
      </c>
      <c r="J285" s="2">
        <v>8</v>
      </c>
      <c r="K285" t="s">
        <v>16</v>
      </c>
      <c r="L285" s="2">
        <v>4</v>
      </c>
      <c r="M285" t="s">
        <v>30</v>
      </c>
      <c r="N285" s="2">
        <v>5</v>
      </c>
    </row>
    <row r="286" spans="1:14">
      <c r="A286" t="s">
        <v>316</v>
      </c>
      <c r="B286" s="1" t="str">
        <f>"45-2093"</f>
        <v>45-2093</v>
      </c>
      <c r="C286" s="1">
        <v>228.5</v>
      </c>
      <c r="D286" s="1">
        <v>213.6</v>
      </c>
      <c r="E286" s="1">
        <v>-14.8</v>
      </c>
      <c r="F286" s="1">
        <v>-6.5</v>
      </c>
      <c r="G286" s="1">
        <v>34</v>
      </c>
      <c r="H286" s="2">
        <v>29630</v>
      </c>
      <c r="I286" t="s">
        <v>42</v>
      </c>
      <c r="J286" s="2">
        <v>8</v>
      </c>
      <c r="K286" t="s">
        <v>16</v>
      </c>
      <c r="L286" s="2">
        <v>4</v>
      </c>
      <c r="M286" t="s">
        <v>30</v>
      </c>
      <c r="N286" s="2">
        <v>5</v>
      </c>
    </row>
    <row r="287" spans="1:14">
      <c r="A287" t="s">
        <v>317</v>
      </c>
      <c r="B287" s="1" t="str">
        <f>"27-1022"</f>
        <v>27-1022</v>
      </c>
      <c r="C287" s="1">
        <v>22.4</v>
      </c>
      <c r="D287" s="1">
        <v>23</v>
      </c>
      <c r="E287" s="1">
        <v>0.6</v>
      </c>
      <c r="F287" s="1">
        <v>2.5</v>
      </c>
      <c r="G287" s="1">
        <v>2.3</v>
      </c>
      <c r="H287" s="2">
        <v>77450</v>
      </c>
      <c r="I287" t="s">
        <v>15</v>
      </c>
      <c r="J287" s="2">
        <v>3</v>
      </c>
      <c r="K287" t="s">
        <v>16</v>
      </c>
      <c r="L287" s="2">
        <v>4</v>
      </c>
      <c r="M287" t="s">
        <v>16</v>
      </c>
      <c r="N287" s="2">
        <v>6</v>
      </c>
    </row>
    <row r="288" spans="1:14">
      <c r="A288" t="s">
        <v>318</v>
      </c>
      <c r="B288" s="1" t="str">
        <f>"35-3023"</f>
        <v>35-3023</v>
      </c>
      <c r="C288" s="1">
        <v>3195.6</v>
      </c>
      <c r="D288" s="1">
        <v>3438.8</v>
      </c>
      <c r="E288" s="1">
        <v>243.2</v>
      </c>
      <c r="F288" s="1">
        <v>7.6</v>
      </c>
      <c r="G288" s="1">
        <v>741.4</v>
      </c>
      <c r="H288" s="2">
        <v>25100</v>
      </c>
      <c r="I288" t="s">
        <v>42</v>
      </c>
      <c r="J288" s="2">
        <v>8</v>
      </c>
      <c r="K288" t="s">
        <v>16</v>
      </c>
      <c r="L288" s="2">
        <v>4</v>
      </c>
      <c r="M288" t="s">
        <v>30</v>
      </c>
      <c r="N288" s="2">
        <v>5</v>
      </c>
    </row>
    <row r="289" spans="1:14">
      <c r="A289" t="s">
        <v>319</v>
      </c>
      <c r="B289" s="1" t="str">
        <f>"47-4031"</f>
        <v>47-4031</v>
      </c>
      <c r="C289" s="1">
        <v>29.9</v>
      </c>
      <c r="D289" s="1">
        <v>29.7</v>
      </c>
      <c r="E289" s="1">
        <v>-0.2</v>
      </c>
      <c r="F289" s="1">
        <v>-0.5</v>
      </c>
      <c r="G289" s="1">
        <v>3</v>
      </c>
      <c r="H289" s="2">
        <v>37700</v>
      </c>
      <c r="I289" t="s">
        <v>42</v>
      </c>
      <c r="J289" s="2">
        <v>8</v>
      </c>
      <c r="K289" t="s">
        <v>16</v>
      </c>
      <c r="L289" s="2">
        <v>4</v>
      </c>
      <c r="M289" t="s">
        <v>26</v>
      </c>
      <c r="N289" s="2">
        <v>4</v>
      </c>
    </row>
    <row r="290" spans="1:14">
      <c r="A290" t="s">
        <v>320</v>
      </c>
      <c r="B290" s="1" t="str">
        <f>"51-2051"</f>
        <v>51-2051</v>
      </c>
      <c r="C290" s="1">
        <v>17.8</v>
      </c>
      <c r="D290" s="1">
        <v>18</v>
      </c>
      <c r="E290" s="1">
        <v>0.1</v>
      </c>
      <c r="F290" s="1">
        <v>0.7</v>
      </c>
      <c r="G290" s="1">
        <v>2.1</v>
      </c>
      <c r="H290" s="2">
        <v>37650</v>
      </c>
      <c r="I290" t="s">
        <v>25</v>
      </c>
      <c r="J290" s="2">
        <v>7</v>
      </c>
      <c r="K290" t="s">
        <v>16</v>
      </c>
      <c r="L290" s="2">
        <v>4</v>
      </c>
      <c r="M290" t="s">
        <v>26</v>
      </c>
      <c r="N290" s="2">
        <v>4</v>
      </c>
    </row>
    <row r="291" spans="1:14">
      <c r="A291" t="s">
        <v>321</v>
      </c>
      <c r="B291" s="1" t="str">
        <f>"43-4071"</f>
        <v>43-4071</v>
      </c>
      <c r="C291" s="1">
        <v>93.4</v>
      </c>
      <c r="D291" s="1">
        <v>82.2</v>
      </c>
      <c r="E291" s="1">
        <v>-11.1</v>
      </c>
      <c r="F291" s="1">
        <v>-11.9</v>
      </c>
      <c r="G291" s="1">
        <v>10</v>
      </c>
      <c r="H291" s="2">
        <v>36360</v>
      </c>
      <c r="I291" t="s">
        <v>25</v>
      </c>
      <c r="J291" s="2">
        <v>7</v>
      </c>
      <c r="K291" t="s">
        <v>16</v>
      </c>
      <c r="L291" s="2">
        <v>4</v>
      </c>
      <c r="M291" t="s">
        <v>30</v>
      </c>
      <c r="N291" s="2">
        <v>5</v>
      </c>
    </row>
    <row r="292" spans="1:14">
      <c r="A292" t="s">
        <v>322</v>
      </c>
      <c r="B292" s="1" t="str">
        <f>"27-4032"</f>
        <v>27-4032</v>
      </c>
      <c r="C292" s="1">
        <v>48.1</v>
      </c>
      <c r="D292" s="1">
        <v>54.7</v>
      </c>
      <c r="E292" s="1">
        <v>6.6</v>
      </c>
      <c r="F292" s="1">
        <v>13.8</v>
      </c>
      <c r="G292" s="1">
        <v>5.7</v>
      </c>
      <c r="H292" s="2">
        <v>62680</v>
      </c>
      <c r="I292" t="s">
        <v>15</v>
      </c>
      <c r="J292" s="2">
        <v>3</v>
      </c>
      <c r="K292" t="s">
        <v>16</v>
      </c>
      <c r="L292" s="2">
        <v>4</v>
      </c>
      <c r="M292" t="s">
        <v>16</v>
      </c>
      <c r="N292" s="2">
        <v>6</v>
      </c>
    </row>
    <row r="293" spans="1:14">
      <c r="A293" t="s">
        <v>323</v>
      </c>
      <c r="B293" s="1" t="str">
        <f>"13-2051"</f>
        <v>13-2051</v>
      </c>
      <c r="C293" s="1">
        <v>317.3</v>
      </c>
      <c r="D293" s="1">
        <v>344.6</v>
      </c>
      <c r="E293" s="1">
        <v>27.3</v>
      </c>
      <c r="F293" s="1">
        <v>8.6</v>
      </c>
      <c r="G293" s="1">
        <v>26.9</v>
      </c>
      <c r="H293" s="2">
        <v>91580</v>
      </c>
      <c r="I293" t="s">
        <v>15</v>
      </c>
      <c r="J293" s="2">
        <v>3</v>
      </c>
      <c r="K293" t="s">
        <v>16</v>
      </c>
      <c r="L293" s="2">
        <v>4</v>
      </c>
      <c r="M293" t="s">
        <v>16</v>
      </c>
      <c r="N293" s="2">
        <v>6</v>
      </c>
    </row>
    <row r="294" spans="1:14">
      <c r="A294" t="s">
        <v>324</v>
      </c>
      <c r="B294" s="1" t="str">
        <f>"43-3099"</f>
        <v>43-3099</v>
      </c>
      <c r="C294" s="1">
        <v>31.9</v>
      </c>
      <c r="D294" s="1">
        <v>33.3</v>
      </c>
      <c r="E294" s="1">
        <v>1.4</v>
      </c>
      <c r="F294" s="1">
        <v>4.4</v>
      </c>
      <c r="G294" s="1">
        <v>3.8</v>
      </c>
      <c r="H294" s="2">
        <v>46900</v>
      </c>
      <c r="I294" t="s">
        <v>25</v>
      </c>
      <c r="J294" s="2">
        <v>7</v>
      </c>
      <c r="K294" t="s">
        <v>16</v>
      </c>
      <c r="L294" s="2">
        <v>4</v>
      </c>
      <c r="M294" t="s">
        <v>30</v>
      </c>
      <c r="N294" s="2">
        <v>5</v>
      </c>
    </row>
    <row r="295" spans="1:14">
      <c r="A295" t="s">
        <v>325</v>
      </c>
      <c r="B295" s="1" t="str">
        <f>"13-2061"</f>
        <v>13-2061</v>
      </c>
      <c r="C295" s="1">
        <v>62.8</v>
      </c>
      <c r="D295" s="1">
        <v>76</v>
      </c>
      <c r="E295" s="1">
        <v>13.2</v>
      </c>
      <c r="F295" s="1">
        <v>21</v>
      </c>
      <c r="G295" s="1">
        <v>6.8</v>
      </c>
      <c r="H295" s="2">
        <v>81410</v>
      </c>
      <c r="I295" t="s">
        <v>15</v>
      </c>
      <c r="J295" s="2">
        <v>3</v>
      </c>
      <c r="K295" t="s">
        <v>16</v>
      </c>
      <c r="L295" s="2">
        <v>4</v>
      </c>
      <c r="M295" t="s">
        <v>20</v>
      </c>
      <c r="N295" s="2">
        <v>3</v>
      </c>
    </row>
    <row r="296" spans="1:14">
      <c r="A296" t="s">
        <v>326</v>
      </c>
      <c r="B296" s="1" t="str">
        <f>"11-3031"</f>
        <v>11-3031</v>
      </c>
      <c r="C296" s="1">
        <v>730.8</v>
      </c>
      <c r="D296" s="1">
        <v>854</v>
      </c>
      <c r="E296" s="1">
        <v>123.1</v>
      </c>
      <c r="F296" s="1">
        <v>16.8</v>
      </c>
      <c r="G296" s="1">
        <v>71.3</v>
      </c>
      <c r="H296" s="2">
        <v>131710</v>
      </c>
      <c r="I296" t="s">
        <v>15</v>
      </c>
      <c r="J296" s="2">
        <v>3</v>
      </c>
      <c r="K296" t="s">
        <v>29</v>
      </c>
      <c r="L296" s="2">
        <v>1</v>
      </c>
      <c r="M296" t="s">
        <v>16</v>
      </c>
      <c r="N296" s="2">
        <v>6</v>
      </c>
    </row>
    <row r="297" spans="1:14">
      <c r="A297" t="s">
        <v>327</v>
      </c>
      <c r="B297" s="1" t="str">
        <f>"13-2054"</f>
        <v>13-2054</v>
      </c>
      <c r="C297" s="1">
        <v>56.5</v>
      </c>
      <c r="D297" s="1">
        <v>61.1</v>
      </c>
      <c r="E297" s="1">
        <v>4.6</v>
      </c>
      <c r="F297" s="1">
        <v>8.1</v>
      </c>
      <c r="G297" s="1">
        <v>5.1</v>
      </c>
      <c r="H297" s="2">
        <v>100000</v>
      </c>
      <c r="I297" t="s">
        <v>15</v>
      </c>
      <c r="J297" s="2">
        <v>3</v>
      </c>
      <c r="K297" t="s">
        <v>16</v>
      </c>
      <c r="L297" s="2">
        <v>4</v>
      </c>
      <c r="M297" t="s">
        <v>16</v>
      </c>
      <c r="N297" s="2">
        <v>6</v>
      </c>
    </row>
    <row r="298" spans="1:14">
      <c r="A298" t="s">
        <v>328</v>
      </c>
      <c r="B298" s="1" t="str">
        <f>"13-2099"</f>
        <v>13-2099</v>
      </c>
      <c r="C298" s="1">
        <v>131.1</v>
      </c>
      <c r="D298" s="1">
        <v>138.7</v>
      </c>
      <c r="E298" s="1">
        <v>7.6</v>
      </c>
      <c r="F298" s="1">
        <v>5.8</v>
      </c>
      <c r="G298" s="1">
        <v>11.4</v>
      </c>
      <c r="H298" s="2">
        <v>73240</v>
      </c>
      <c r="I298" t="s">
        <v>15</v>
      </c>
      <c r="J298" s="2">
        <v>3</v>
      </c>
      <c r="K298" t="s">
        <v>16</v>
      </c>
      <c r="L298" s="2">
        <v>4</v>
      </c>
      <c r="M298" t="s">
        <v>16</v>
      </c>
      <c r="N298" s="2">
        <v>6</v>
      </c>
    </row>
    <row r="299" spans="1:14">
      <c r="A299" t="s">
        <v>329</v>
      </c>
      <c r="B299" s="1" t="str">
        <f>"27-1013"</f>
        <v>27-1013</v>
      </c>
      <c r="C299" s="1">
        <v>27.1</v>
      </c>
      <c r="D299" s="1">
        <v>28.8</v>
      </c>
      <c r="E299" s="1">
        <v>1.7</v>
      </c>
      <c r="F299" s="1">
        <v>6.4</v>
      </c>
      <c r="G299" s="1">
        <v>3.1</v>
      </c>
      <c r="H299" s="2">
        <v>60820</v>
      </c>
      <c r="I299" t="s">
        <v>15</v>
      </c>
      <c r="J299" s="2">
        <v>3</v>
      </c>
      <c r="K299" t="s">
        <v>16</v>
      </c>
      <c r="L299" s="2">
        <v>4</v>
      </c>
      <c r="M299" t="s">
        <v>20</v>
      </c>
      <c r="N299" s="2">
        <v>3</v>
      </c>
    </row>
    <row r="300" spans="1:14">
      <c r="A300" t="s">
        <v>330</v>
      </c>
      <c r="B300" s="1" t="str">
        <f>"33-2021"</f>
        <v>33-2021</v>
      </c>
      <c r="C300" s="1">
        <v>15.5</v>
      </c>
      <c r="D300" s="1">
        <v>15.9</v>
      </c>
      <c r="E300" s="1">
        <v>0.5</v>
      </c>
      <c r="F300" s="1">
        <v>3.1</v>
      </c>
      <c r="G300" s="1">
        <v>1.5</v>
      </c>
      <c r="H300" s="2">
        <v>64600</v>
      </c>
      <c r="I300" t="s">
        <v>50</v>
      </c>
      <c r="J300" s="2">
        <v>5</v>
      </c>
      <c r="K300" t="s">
        <v>29</v>
      </c>
      <c r="L300" s="2">
        <v>1</v>
      </c>
      <c r="M300" t="s">
        <v>26</v>
      </c>
      <c r="N300" s="2">
        <v>4</v>
      </c>
    </row>
    <row r="301" spans="1:14">
      <c r="A301" t="s">
        <v>331</v>
      </c>
      <c r="B301" s="1" t="str">
        <f>"33-2011"</f>
        <v>33-2011</v>
      </c>
      <c r="C301" s="1">
        <v>326.1</v>
      </c>
      <c r="D301" s="1">
        <v>340</v>
      </c>
      <c r="E301" s="1">
        <v>13.9</v>
      </c>
      <c r="F301" s="1">
        <v>4.3</v>
      </c>
      <c r="G301" s="1">
        <v>28</v>
      </c>
      <c r="H301" s="2">
        <v>50700</v>
      </c>
      <c r="I301" t="s">
        <v>50</v>
      </c>
      <c r="J301" s="2">
        <v>5</v>
      </c>
      <c r="K301" t="s">
        <v>16</v>
      </c>
      <c r="L301" s="2">
        <v>4</v>
      </c>
      <c r="M301" t="s">
        <v>20</v>
      </c>
      <c r="N301" s="2">
        <v>3</v>
      </c>
    </row>
    <row r="302" spans="1:14">
      <c r="A302" t="s">
        <v>332</v>
      </c>
      <c r="B302" s="1" t="str">
        <f>"47-1011"</f>
        <v>47-1011</v>
      </c>
      <c r="C302" s="1">
        <v>735.5</v>
      </c>
      <c r="D302" s="1">
        <v>765.4</v>
      </c>
      <c r="E302" s="1">
        <v>29.9</v>
      </c>
      <c r="F302" s="1">
        <v>4.1</v>
      </c>
      <c r="G302" s="1">
        <v>72.7</v>
      </c>
      <c r="H302" s="2">
        <v>72010</v>
      </c>
      <c r="I302" t="s">
        <v>25</v>
      </c>
      <c r="J302" s="2">
        <v>7</v>
      </c>
      <c r="K302" t="s">
        <v>29</v>
      </c>
      <c r="L302" s="2">
        <v>1</v>
      </c>
      <c r="M302" t="s">
        <v>16</v>
      </c>
      <c r="N302" s="2">
        <v>6</v>
      </c>
    </row>
    <row r="303" spans="1:14">
      <c r="A303" t="s">
        <v>333</v>
      </c>
      <c r="B303" s="1" t="str">
        <f>"33-1011"</f>
        <v>33-1011</v>
      </c>
      <c r="C303" s="1">
        <v>55.9</v>
      </c>
      <c r="D303" s="1">
        <v>52.6</v>
      </c>
      <c r="E303" s="1">
        <v>-3.3</v>
      </c>
      <c r="F303" s="1">
        <v>-5.9</v>
      </c>
      <c r="G303" s="1">
        <v>4.3</v>
      </c>
      <c r="H303" s="2">
        <v>62220</v>
      </c>
      <c r="I303" t="s">
        <v>25</v>
      </c>
      <c r="J303" s="2">
        <v>7</v>
      </c>
      <c r="K303" t="s">
        <v>32</v>
      </c>
      <c r="L303" s="2">
        <v>2</v>
      </c>
      <c r="M303" t="s">
        <v>16</v>
      </c>
      <c r="N303" s="2">
        <v>6</v>
      </c>
    </row>
    <row r="304" spans="1:14">
      <c r="A304" t="s">
        <v>334</v>
      </c>
      <c r="B304" s="1" t="str">
        <f>"39-1014"</f>
        <v>39-1014</v>
      </c>
      <c r="C304" s="1">
        <v>97.6</v>
      </c>
      <c r="D304" s="1">
        <v>112</v>
      </c>
      <c r="E304" s="1">
        <v>14.5</v>
      </c>
      <c r="F304" s="1">
        <v>14.8</v>
      </c>
      <c r="G304" s="1">
        <v>14.2</v>
      </c>
      <c r="H304" s="2">
        <v>44870</v>
      </c>
      <c r="I304" t="s">
        <v>25</v>
      </c>
      <c r="J304" s="2">
        <v>7</v>
      </c>
      <c r="K304" t="s">
        <v>32</v>
      </c>
      <c r="L304" s="2">
        <v>2</v>
      </c>
      <c r="M304" t="s">
        <v>16</v>
      </c>
      <c r="N304" s="2">
        <v>6</v>
      </c>
    </row>
    <row r="305" spans="1:14">
      <c r="A305" t="s">
        <v>335</v>
      </c>
      <c r="B305" s="1" t="str">
        <f>"45-1011"</f>
        <v>45-1011</v>
      </c>
      <c r="C305" s="1">
        <v>53.3</v>
      </c>
      <c r="D305" s="1">
        <v>56.7</v>
      </c>
      <c r="E305" s="1">
        <v>3.4</v>
      </c>
      <c r="F305" s="1">
        <v>6.4</v>
      </c>
      <c r="G305" s="1">
        <v>8.2</v>
      </c>
      <c r="H305" s="2">
        <v>48640</v>
      </c>
      <c r="I305" t="s">
        <v>25</v>
      </c>
      <c r="J305" s="2">
        <v>7</v>
      </c>
      <c r="K305" t="s">
        <v>32</v>
      </c>
      <c r="L305" s="2">
        <v>2</v>
      </c>
      <c r="M305" t="s">
        <v>16</v>
      </c>
      <c r="N305" s="2">
        <v>6</v>
      </c>
    </row>
    <row r="306" spans="1:14">
      <c r="A306" t="s">
        <v>336</v>
      </c>
      <c r="B306" s="1" t="str">
        <f>"33-1021"</f>
        <v>33-1021</v>
      </c>
      <c r="C306" s="1">
        <v>82.8</v>
      </c>
      <c r="D306" s="1">
        <v>86.1</v>
      </c>
      <c r="E306" s="1">
        <v>3.4</v>
      </c>
      <c r="F306" s="1">
        <v>4.1</v>
      </c>
      <c r="G306" s="1">
        <v>6.5</v>
      </c>
      <c r="H306" s="2">
        <v>78230</v>
      </c>
      <c r="I306" t="s">
        <v>50</v>
      </c>
      <c r="J306" s="2">
        <v>5</v>
      </c>
      <c r="K306" t="s">
        <v>32</v>
      </c>
      <c r="L306" s="2">
        <v>2</v>
      </c>
      <c r="M306" t="s">
        <v>26</v>
      </c>
      <c r="N306" s="2">
        <v>4</v>
      </c>
    </row>
    <row r="307" spans="1:14">
      <c r="A307" t="s">
        <v>337</v>
      </c>
      <c r="B307" s="1" t="str">
        <f>"35-1012"</f>
        <v>35-1012</v>
      </c>
      <c r="C307" s="1">
        <v>1093.1</v>
      </c>
      <c r="D307" s="1">
        <v>1238.7</v>
      </c>
      <c r="E307" s="1">
        <v>145.7</v>
      </c>
      <c r="F307" s="1">
        <v>13.3</v>
      </c>
      <c r="G307" s="1">
        <v>196.7</v>
      </c>
      <c r="H307" s="2">
        <v>36570</v>
      </c>
      <c r="I307" t="s">
        <v>25</v>
      </c>
      <c r="J307" s="2">
        <v>7</v>
      </c>
      <c r="K307" t="s">
        <v>32</v>
      </c>
      <c r="L307" s="2">
        <v>2</v>
      </c>
      <c r="M307" t="s">
        <v>16</v>
      </c>
      <c r="N307" s="2">
        <v>6</v>
      </c>
    </row>
    <row r="308" spans="1:14">
      <c r="A308" t="s">
        <v>338</v>
      </c>
      <c r="B308" s="1" t="str">
        <f>"39-1013"</f>
        <v>39-1013</v>
      </c>
      <c r="C308" s="1">
        <v>26.4</v>
      </c>
      <c r="D308" s="1">
        <v>30.4</v>
      </c>
      <c r="E308" s="1">
        <v>4</v>
      </c>
      <c r="F308" s="1">
        <v>15</v>
      </c>
      <c r="G308" s="1">
        <v>3.8</v>
      </c>
      <c r="H308" s="2">
        <v>49140</v>
      </c>
      <c r="I308" t="s">
        <v>25</v>
      </c>
      <c r="J308" s="2">
        <v>7</v>
      </c>
      <c r="K308" t="s">
        <v>32</v>
      </c>
      <c r="L308" s="2">
        <v>2</v>
      </c>
      <c r="M308" t="s">
        <v>16</v>
      </c>
      <c r="N308" s="2">
        <v>6</v>
      </c>
    </row>
    <row r="309" spans="1:14">
      <c r="A309" t="s">
        <v>339</v>
      </c>
      <c r="B309" s="1" t="str">
        <f>"37-1011"</f>
        <v>37-1011</v>
      </c>
      <c r="C309" s="1">
        <v>253</v>
      </c>
      <c r="D309" s="1">
        <v>266.7</v>
      </c>
      <c r="E309" s="1">
        <v>13.7</v>
      </c>
      <c r="F309" s="1">
        <v>5.4</v>
      </c>
      <c r="G309" s="1">
        <v>31.1</v>
      </c>
      <c r="H309" s="2">
        <v>39630</v>
      </c>
      <c r="I309" t="s">
        <v>25</v>
      </c>
      <c r="J309" s="2">
        <v>7</v>
      </c>
      <c r="K309" t="s">
        <v>32</v>
      </c>
      <c r="L309" s="2">
        <v>2</v>
      </c>
      <c r="M309" t="s">
        <v>16</v>
      </c>
      <c r="N309" s="2">
        <v>6</v>
      </c>
    </row>
    <row r="310" spans="1:14">
      <c r="A310" t="s">
        <v>340</v>
      </c>
      <c r="B310" s="1" t="str">
        <f>"37-1012"</f>
        <v>37-1012</v>
      </c>
      <c r="C310" s="1">
        <v>217.6</v>
      </c>
      <c r="D310" s="1">
        <v>224.7</v>
      </c>
      <c r="E310" s="1">
        <v>7.1</v>
      </c>
      <c r="F310" s="1">
        <v>3.3</v>
      </c>
      <c r="G310" s="1">
        <v>23.6</v>
      </c>
      <c r="H310" s="2">
        <v>48800</v>
      </c>
      <c r="I310" t="s">
        <v>25</v>
      </c>
      <c r="J310" s="2">
        <v>7</v>
      </c>
      <c r="K310" t="s">
        <v>32</v>
      </c>
      <c r="L310" s="2">
        <v>2</v>
      </c>
      <c r="M310" t="s">
        <v>16</v>
      </c>
      <c r="N310" s="2">
        <v>6</v>
      </c>
    </row>
    <row r="311" spans="1:14">
      <c r="A311" t="s">
        <v>341</v>
      </c>
      <c r="B311" s="1" t="str">
        <f>"49-1011"</f>
        <v>49-1011</v>
      </c>
      <c r="C311" s="1">
        <v>544.7</v>
      </c>
      <c r="D311" s="1">
        <v>564.6</v>
      </c>
      <c r="E311" s="1">
        <v>19.8</v>
      </c>
      <c r="F311" s="1">
        <v>3.6</v>
      </c>
      <c r="G311" s="1">
        <v>53.5</v>
      </c>
      <c r="H311" s="2">
        <v>71260</v>
      </c>
      <c r="I311" t="s">
        <v>25</v>
      </c>
      <c r="J311" s="2">
        <v>7</v>
      </c>
      <c r="K311" t="s">
        <v>32</v>
      </c>
      <c r="L311" s="2">
        <v>2</v>
      </c>
      <c r="M311" t="s">
        <v>16</v>
      </c>
      <c r="N311" s="2">
        <v>6</v>
      </c>
    </row>
    <row r="312" spans="1:14">
      <c r="A312" t="s">
        <v>342</v>
      </c>
      <c r="B312" s="1" t="str">
        <f>"41-1012"</f>
        <v>41-1012</v>
      </c>
      <c r="C312" s="1">
        <v>406.9</v>
      </c>
      <c r="D312" s="1">
        <v>405.5</v>
      </c>
      <c r="E312" s="1">
        <v>-1.4</v>
      </c>
      <c r="F312" s="1">
        <v>-0.3</v>
      </c>
      <c r="G312" s="1">
        <v>37.1</v>
      </c>
      <c r="H312" s="2">
        <v>79680</v>
      </c>
      <c r="I312" t="s">
        <v>25</v>
      </c>
      <c r="J312" s="2">
        <v>7</v>
      </c>
      <c r="K312" t="s">
        <v>32</v>
      </c>
      <c r="L312" s="2">
        <v>2</v>
      </c>
      <c r="M312" t="s">
        <v>16</v>
      </c>
      <c r="N312" s="2">
        <v>6</v>
      </c>
    </row>
    <row r="313" spans="1:14">
      <c r="A313" t="s">
        <v>343</v>
      </c>
      <c r="B313" s="1" t="str">
        <f>"43-1011"</f>
        <v>43-1011</v>
      </c>
      <c r="C313" s="1">
        <v>1521.8</v>
      </c>
      <c r="D313" s="1">
        <v>1493.5</v>
      </c>
      <c r="E313" s="1">
        <v>-28.3</v>
      </c>
      <c r="F313" s="1">
        <v>-1.9</v>
      </c>
      <c r="G313" s="1">
        <v>159.6</v>
      </c>
      <c r="H313" s="2">
        <v>60590</v>
      </c>
      <c r="I313" t="s">
        <v>25</v>
      </c>
      <c r="J313" s="2">
        <v>7</v>
      </c>
      <c r="K313" t="s">
        <v>32</v>
      </c>
      <c r="L313" s="2">
        <v>2</v>
      </c>
      <c r="M313" t="s">
        <v>16</v>
      </c>
      <c r="N313" s="2">
        <v>6</v>
      </c>
    </row>
    <row r="314" spans="1:14">
      <c r="A314" t="s">
        <v>344</v>
      </c>
      <c r="B314" s="1" t="str">
        <f>"39-1022"</f>
        <v>39-1022</v>
      </c>
      <c r="C314" s="1">
        <v>156.5</v>
      </c>
      <c r="D314" s="1">
        <v>176.8</v>
      </c>
      <c r="E314" s="1">
        <v>20.3</v>
      </c>
      <c r="F314" s="1">
        <v>13</v>
      </c>
      <c r="G314" s="1">
        <v>22.3</v>
      </c>
      <c r="H314" s="2">
        <v>40390</v>
      </c>
      <c r="I314" t="s">
        <v>25</v>
      </c>
      <c r="J314" s="2">
        <v>7</v>
      </c>
      <c r="K314" t="s">
        <v>32</v>
      </c>
      <c r="L314" s="2">
        <v>2</v>
      </c>
      <c r="M314" t="s">
        <v>16</v>
      </c>
      <c r="N314" s="2">
        <v>6</v>
      </c>
    </row>
    <row r="315" spans="1:14">
      <c r="A315" t="s">
        <v>345</v>
      </c>
      <c r="B315" s="1" t="str">
        <f>"33-1012"</f>
        <v>33-1012</v>
      </c>
      <c r="C315" s="1">
        <v>132.3</v>
      </c>
      <c r="D315" s="1">
        <v>136.1</v>
      </c>
      <c r="E315" s="1">
        <v>3.7</v>
      </c>
      <c r="F315" s="1">
        <v>2.8</v>
      </c>
      <c r="G315" s="1">
        <v>9.3</v>
      </c>
      <c r="H315" s="2">
        <v>99330</v>
      </c>
      <c r="I315" t="s">
        <v>25</v>
      </c>
      <c r="J315" s="2">
        <v>7</v>
      </c>
      <c r="K315" t="s">
        <v>32</v>
      </c>
      <c r="L315" s="2">
        <v>2</v>
      </c>
      <c r="M315" t="s">
        <v>26</v>
      </c>
      <c r="N315" s="2">
        <v>4</v>
      </c>
    </row>
    <row r="316" spans="1:14">
      <c r="A316" t="s">
        <v>346</v>
      </c>
      <c r="B316" s="1" t="str">
        <f>"51-1011"</f>
        <v>51-1011</v>
      </c>
      <c r="C316" s="1">
        <v>646.8</v>
      </c>
      <c r="D316" s="1">
        <v>659</v>
      </c>
      <c r="E316" s="1">
        <v>12.2</v>
      </c>
      <c r="F316" s="1">
        <v>1.9</v>
      </c>
      <c r="G316" s="1">
        <v>68.7</v>
      </c>
      <c r="H316" s="2">
        <v>61790</v>
      </c>
      <c r="I316" t="s">
        <v>25</v>
      </c>
      <c r="J316" s="2">
        <v>7</v>
      </c>
      <c r="K316" t="s">
        <v>32</v>
      </c>
      <c r="L316" s="2">
        <v>2</v>
      </c>
      <c r="M316" t="s">
        <v>16</v>
      </c>
      <c r="N316" s="2">
        <v>6</v>
      </c>
    </row>
    <row r="317" spans="1:14">
      <c r="A317" t="s">
        <v>347</v>
      </c>
      <c r="B317" s="1" t="str">
        <f>"33-1099"</f>
        <v>33-1099</v>
      </c>
      <c r="C317" s="1">
        <v>24.9</v>
      </c>
      <c r="D317" s="1">
        <v>26.3</v>
      </c>
      <c r="E317" s="1">
        <v>1.4</v>
      </c>
      <c r="F317" s="1">
        <v>5.8</v>
      </c>
      <c r="G317" s="1">
        <v>2.6</v>
      </c>
      <c r="H317" s="2">
        <v>61010</v>
      </c>
      <c r="I317" t="s">
        <v>25</v>
      </c>
      <c r="J317" s="2">
        <v>7</v>
      </c>
      <c r="K317" t="s">
        <v>32</v>
      </c>
      <c r="L317" s="2">
        <v>2</v>
      </c>
      <c r="M317" t="s">
        <v>16</v>
      </c>
      <c r="N317" s="2">
        <v>6</v>
      </c>
    </row>
    <row r="318" spans="1:14">
      <c r="A318" t="s">
        <v>348</v>
      </c>
      <c r="B318" s="1" t="str">
        <f>"41-1011"</f>
        <v>41-1011</v>
      </c>
      <c r="C318" s="1">
        <v>1505.7</v>
      </c>
      <c r="D318" s="1">
        <v>1427.5</v>
      </c>
      <c r="E318" s="1">
        <v>-78.2</v>
      </c>
      <c r="F318" s="1">
        <v>-5.2</v>
      </c>
      <c r="G318" s="1">
        <v>153</v>
      </c>
      <c r="H318" s="2">
        <v>39230</v>
      </c>
      <c r="I318" t="s">
        <v>25</v>
      </c>
      <c r="J318" s="2">
        <v>7</v>
      </c>
      <c r="K318" t="s">
        <v>32</v>
      </c>
      <c r="L318" s="2">
        <v>2</v>
      </c>
      <c r="M318" t="s">
        <v>16</v>
      </c>
      <c r="N318" s="2">
        <v>6</v>
      </c>
    </row>
    <row r="319" spans="1:14">
      <c r="A319" t="s">
        <v>349</v>
      </c>
      <c r="B319" s="1" t="str">
        <f>"33-1091"</f>
        <v>33-1091</v>
      </c>
      <c r="C319" s="1">
        <v>57.5</v>
      </c>
      <c r="D319" s="1">
        <v>57.9</v>
      </c>
      <c r="E319" s="1">
        <v>0.3</v>
      </c>
      <c r="F319" s="1">
        <v>0.6</v>
      </c>
      <c r="G319" s="1">
        <v>5.6</v>
      </c>
      <c r="H319" s="2">
        <v>50240</v>
      </c>
      <c r="I319" t="s">
        <v>25</v>
      </c>
      <c r="J319" s="2">
        <v>7</v>
      </c>
      <c r="K319" t="s">
        <v>32</v>
      </c>
      <c r="L319" s="2">
        <v>2</v>
      </c>
      <c r="M319" t="s">
        <v>16</v>
      </c>
      <c r="N319" s="2">
        <v>6</v>
      </c>
    </row>
    <row r="320" spans="1:14">
      <c r="A320" t="s">
        <v>350</v>
      </c>
      <c r="B320" s="1" t="str">
        <f>"53-1047"</f>
        <v>53-1047</v>
      </c>
      <c r="C320" s="1">
        <v>561.8</v>
      </c>
      <c r="D320" s="1">
        <v>592.9</v>
      </c>
      <c r="E320" s="1">
        <v>31</v>
      </c>
      <c r="F320" s="1">
        <v>5.5</v>
      </c>
      <c r="G320" s="1">
        <v>71.3</v>
      </c>
      <c r="H320" s="2">
        <v>54850</v>
      </c>
      <c r="I320" t="s">
        <v>25</v>
      </c>
      <c r="J320" s="2">
        <v>7</v>
      </c>
      <c r="K320" t="s">
        <v>32</v>
      </c>
      <c r="L320" s="2">
        <v>2</v>
      </c>
      <c r="M320" t="s">
        <v>16</v>
      </c>
      <c r="N320" s="2">
        <v>6</v>
      </c>
    </row>
    <row r="321" spans="1:14">
      <c r="A321" t="s">
        <v>351</v>
      </c>
      <c r="B321" s="1" t="str">
        <f>"33-3031"</f>
        <v>33-3031</v>
      </c>
      <c r="C321" s="1">
        <v>6.9</v>
      </c>
      <c r="D321" s="1">
        <v>6.7</v>
      </c>
      <c r="E321" s="1">
        <v>-0.2</v>
      </c>
      <c r="F321" s="1">
        <v>-3.5</v>
      </c>
      <c r="G321" s="1">
        <v>0.7</v>
      </c>
      <c r="H321" s="2">
        <v>60730</v>
      </c>
      <c r="I321" t="s">
        <v>15</v>
      </c>
      <c r="J321" s="2">
        <v>3</v>
      </c>
      <c r="K321" t="s">
        <v>16</v>
      </c>
      <c r="L321" s="2">
        <v>4</v>
      </c>
      <c r="M321" t="s">
        <v>26</v>
      </c>
      <c r="N321" s="2">
        <v>4</v>
      </c>
    </row>
    <row r="322" spans="1:14">
      <c r="A322" t="s">
        <v>352</v>
      </c>
      <c r="B322" s="1" t="str">
        <f>"45-3031"</f>
        <v>45-3031</v>
      </c>
      <c r="C322" s="1">
        <v>28.6</v>
      </c>
      <c r="D322" s="1">
        <v>29.2</v>
      </c>
      <c r="E322" s="1">
        <v>0.6</v>
      </c>
      <c r="F322" s="1">
        <v>2.1</v>
      </c>
      <c r="G322" s="1">
        <v>4.4</v>
      </c>
      <c r="H322" s="2" t="s">
        <v>18</v>
      </c>
      <c r="I322" t="s">
        <v>42</v>
      </c>
      <c r="J322" s="2">
        <v>8</v>
      </c>
      <c r="K322" t="s">
        <v>16</v>
      </c>
      <c r="L322" s="2">
        <v>4</v>
      </c>
      <c r="M322" t="s">
        <v>26</v>
      </c>
      <c r="N322" s="2">
        <v>4</v>
      </c>
    </row>
    <row r="323" spans="1:14">
      <c r="A323" t="s">
        <v>353</v>
      </c>
      <c r="B323" s="1" t="str">
        <f>"53-2031"</f>
        <v>53-2031</v>
      </c>
      <c r="C323" s="1">
        <v>106.3</v>
      </c>
      <c r="D323" s="1">
        <v>128.4</v>
      </c>
      <c r="E323" s="1">
        <v>22.1</v>
      </c>
      <c r="F323" s="1">
        <v>20.8</v>
      </c>
      <c r="G323" s="1">
        <v>18.1</v>
      </c>
      <c r="H323" s="2">
        <v>61640</v>
      </c>
      <c r="I323" t="s">
        <v>25</v>
      </c>
      <c r="J323" s="2">
        <v>7</v>
      </c>
      <c r="K323" t="s">
        <v>32</v>
      </c>
      <c r="L323" s="2">
        <v>2</v>
      </c>
      <c r="M323" t="s">
        <v>26</v>
      </c>
      <c r="N323" s="2">
        <v>4</v>
      </c>
    </row>
    <row r="324" spans="1:14">
      <c r="A324" t="s">
        <v>354</v>
      </c>
      <c r="B324" s="1" t="str">
        <f>"47-2042"</f>
        <v>47-2042</v>
      </c>
      <c r="C324" s="1">
        <v>25.2</v>
      </c>
      <c r="D324" s="1">
        <v>27.6</v>
      </c>
      <c r="E324" s="1">
        <v>2.4</v>
      </c>
      <c r="F324" s="1">
        <v>9.4</v>
      </c>
      <c r="G324" s="1">
        <v>2.5</v>
      </c>
      <c r="H324" s="2">
        <v>48060</v>
      </c>
      <c r="I324" t="s">
        <v>42</v>
      </c>
      <c r="J324" s="2">
        <v>8</v>
      </c>
      <c r="K324" t="s">
        <v>16</v>
      </c>
      <c r="L324" s="2">
        <v>4</v>
      </c>
      <c r="M324" t="s">
        <v>26</v>
      </c>
      <c r="N324" s="2">
        <v>4</v>
      </c>
    </row>
    <row r="325" spans="1:14">
      <c r="A325" t="s">
        <v>355</v>
      </c>
      <c r="B325" s="1" t="str">
        <f>"47-2043"</f>
        <v>47-2043</v>
      </c>
      <c r="C325" s="1">
        <v>6</v>
      </c>
      <c r="D325" s="1">
        <v>6.1</v>
      </c>
      <c r="E325" s="1">
        <v>0.1</v>
      </c>
      <c r="F325" s="1">
        <v>1.6</v>
      </c>
      <c r="G325" s="1">
        <v>0.5</v>
      </c>
      <c r="H325" s="2">
        <v>39140</v>
      </c>
      <c r="I325" t="s">
        <v>42</v>
      </c>
      <c r="J325" s="2">
        <v>8</v>
      </c>
      <c r="K325" t="s">
        <v>16</v>
      </c>
      <c r="L325" s="2">
        <v>4</v>
      </c>
      <c r="M325" t="s">
        <v>26</v>
      </c>
      <c r="N325" s="2">
        <v>4</v>
      </c>
    </row>
    <row r="326" spans="1:14">
      <c r="A326" t="s">
        <v>356</v>
      </c>
      <c r="B326" s="1" t="str">
        <f>"27-1023"</f>
        <v>27-1023</v>
      </c>
      <c r="C326" s="1">
        <v>44.4</v>
      </c>
      <c r="D326" s="1">
        <v>35.1</v>
      </c>
      <c r="E326" s="1">
        <v>-9.3</v>
      </c>
      <c r="F326" s="1">
        <v>-21</v>
      </c>
      <c r="G326" s="1">
        <v>3.8</v>
      </c>
      <c r="H326" s="2">
        <v>29880</v>
      </c>
      <c r="I326" t="s">
        <v>25</v>
      </c>
      <c r="J326" s="2">
        <v>7</v>
      </c>
      <c r="K326" t="s">
        <v>16</v>
      </c>
      <c r="L326" s="2">
        <v>4</v>
      </c>
      <c r="M326" t="s">
        <v>26</v>
      </c>
      <c r="N326" s="2">
        <v>4</v>
      </c>
    </row>
    <row r="327" spans="1:14">
      <c r="A327" t="s">
        <v>357</v>
      </c>
      <c r="B327" s="1" t="str">
        <f>"51-3091"</f>
        <v>51-3091</v>
      </c>
      <c r="C327" s="1">
        <v>21.1</v>
      </c>
      <c r="D327" s="1">
        <v>21.6</v>
      </c>
      <c r="E327" s="1">
        <v>0.5</v>
      </c>
      <c r="F327" s="1">
        <v>2.2</v>
      </c>
      <c r="G327" s="1">
        <v>2.8</v>
      </c>
      <c r="H327" s="2">
        <v>35480</v>
      </c>
      <c r="I327" t="s">
        <v>42</v>
      </c>
      <c r="J327" s="2">
        <v>8</v>
      </c>
      <c r="K327" t="s">
        <v>16</v>
      </c>
      <c r="L327" s="2">
        <v>4</v>
      </c>
      <c r="M327" t="s">
        <v>26</v>
      </c>
      <c r="N327" s="2">
        <v>4</v>
      </c>
    </row>
    <row r="328" spans="1:14">
      <c r="A328" t="s">
        <v>358</v>
      </c>
      <c r="B328" s="1" t="str">
        <f>"51-3092"</f>
        <v>51-3092</v>
      </c>
      <c r="C328" s="1">
        <v>159.9</v>
      </c>
      <c r="D328" s="1">
        <v>168.7</v>
      </c>
      <c r="E328" s="1">
        <v>8.8</v>
      </c>
      <c r="F328" s="1">
        <v>5.5</v>
      </c>
      <c r="G328" s="1">
        <v>23.5</v>
      </c>
      <c r="H328" s="2">
        <v>35780</v>
      </c>
      <c r="I328" t="s">
        <v>25</v>
      </c>
      <c r="J328" s="2">
        <v>7</v>
      </c>
      <c r="K328" t="s">
        <v>16</v>
      </c>
      <c r="L328" s="2">
        <v>4</v>
      </c>
      <c r="M328" t="s">
        <v>26</v>
      </c>
      <c r="N328" s="2">
        <v>4</v>
      </c>
    </row>
    <row r="329" spans="1:14">
      <c r="A329" t="s">
        <v>359</v>
      </c>
      <c r="B329" s="1" t="str">
        <f>"51-3093"</f>
        <v>51-3093</v>
      </c>
      <c r="C329" s="1">
        <v>27.2</v>
      </c>
      <c r="D329" s="1">
        <v>27</v>
      </c>
      <c r="E329" s="1">
        <v>-0.2</v>
      </c>
      <c r="F329" s="1">
        <v>-0.8</v>
      </c>
      <c r="G329" s="1">
        <v>5</v>
      </c>
      <c r="H329" s="2">
        <v>35890</v>
      </c>
      <c r="I329" t="s">
        <v>25</v>
      </c>
      <c r="J329" s="2">
        <v>7</v>
      </c>
      <c r="K329" t="s">
        <v>16</v>
      </c>
      <c r="L329" s="2">
        <v>4</v>
      </c>
      <c r="M329" t="s">
        <v>26</v>
      </c>
      <c r="N329" s="2">
        <v>4</v>
      </c>
    </row>
    <row r="330" spans="1:14">
      <c r="A330" t="s">
        <v>360</v>
      </c>
      <c r="B330" s="1" t="str">
        <f>"35-9099"</f>
        <v>35-9099</v>
      </c>
      <c r="C330" s="1">
        <v>87.3</v>
      </c>
      <c r="D330" s="1">
        <v>99.5</v>
      </c>
      <c r="E330" s="1">
        <v>12.3</v>
      </c>
      <c r="F330" s="1">
        <v>14.1</v>
      </c>
      <c r="G330" s="1">
        <v>22.5</v>
      </c>
      <c r="H330" s="2">
        <v>29120</v>
      </c>
      <c r="I330" t="s">
        <v>42</v>
      </c>
      <c r="J330" s="2">
        <v>8</v>
      </c>
      <c r="K330" t="s">
        <v>16</v>
      </c>
      <c r="L330" s="2">
        <v>4</v>
      </c>
      <c r="M330" t="s">
        <v>30</v>
      </c>
      <c r="N330" s="2">
        <v>5</v>
      </c>
    </row>
    <row r="331" spans="1:14">
      <c r="A331" t="s">
        <v>361</v>
      </c>
      <c r="B331" s="1" t="str">
        <f>"35-2021"</f>
        <v>35-2021</v>
      </c>
      <c r="C331" s="1">
        <v>817.4</v>
      </c>
      <c r="D331" s="1">
        <v>835.1</v>
      </c>
      <c r="E331" s="1">
        <v>17.7</v>
      </c>
      <c r="F331" s="1">
        <v>2.2</v>
      </c>
      <c r="G331" s="1">
        <v>145.8</v>
      </c>
      <c r="H331" s="2">
        <v>28780</v>
      </c>
      <c r="I331" t="s">
        <v>42</v>
      </c>
      <c r="J331" s="2">
        <v>8</v>
      </c>
      <c r="K331" t="s">
        <v>16</v>
      </c>
      <c r="L331" s="2">
        <v>4</v>
      </c>
      <c r="M331" t="s">
        <v>30</v>
      </c>
      <c r="N331" s="2">
        <v>5</v>
      </c>
    </row>
    <row r="332" spans="1:14">
      <c r="A332" t="s">
        <v>362</v>
      </c>
      <c r="B332" s="1" t="str">
        <f>"51-3099"</f>
        <v>51-3099</v>
      </c>
      <c r="C332" s="1">
        <v>49.3</v>
      </c>
      <c r="D332" s="1">
        <v>49.4</v>
      </c>
      <c r="E332" s="1">
        <v>0.1</v>
      </c>
      <c r="F332" s="1">
        <v>0.2</v>
      </c>
      <c r="G332" s="1">
        <v>5.4</v>
      </c>
      <c r="H332" s="2">
        <v>31890</v>
      </c>
      <c r="I332" t="s">
        <v>42</v>
      </c>
      <c r="J332" s="2">
        <v>8</v>
      </c>
      <c r="K332" t="s">
        <v>16</v>
      </c>
      <c r="L332" s="2">
        <v>4</v>
      </c>
      <c r="M332" t="s">
        <v>26</v>
      </c>
      <c r="N332" s="2">
        <v>4</v>
      </c>
    </row>
    <row r="333" spans="1:14">
      <c r="A333" t="s">
        <v>363</v>
      </c>
      <c r="B333" s="1" t="str">
        <f>"19-4013"</f>
        <v>19-4013</v>
      </c>
      <c r="C333" s="1">
        <v>15.2</v>
      </c>
      <c r="D333" s="1">
        <v>16.3</v>
      </c>
      <c r="E333" s="1">
        <v>1.2</v>
      </c>
      <c r="F333" s="1">
        <v>7.6</v>
      </c>
      <c r="G333" s="1">
        <v>2.3</v>
      </c>
      <c r="H333" s="2">
        <v>46590</v>
      </c>
      <c r="I333" t="s">
        <v>37</v>
      </c>
      <c r="J333" s="2">
        <v>4</v>
      </c>
      <c r="K333" t="s">
        <v>16</v>
      </c>
      <c r="L333" s="2">
        <v>4</v>
      </c>
      <c r="M333" t="s">
        <v>26</v>
      </c>
      <c r="N333" s="2">
        <v>4</v>
      </c>
    </row>
    <row r="334" spans="1:14">
      <c r="A334" t="s">
        <v>364</v>
      </c>
      <c r="B334" s="1" t="str">
        <f>"19-1012"</f>
        <v>19-1012</v>
      </c>
      <c r="C334" s="1">
        <v>14.4</v>
      </c>
      <c r="D334" s="1">
        <v>15.3</v>
      </c>
      <c r="E334" s="1">
        <v>0.8</v>
      </c>
      <c r="F334" s="1">
        <v>5.7</v>
      </c>
      <c r="G334" s="1">
        <v>1.5</v>
      </c>
      <c r="H334" s="2">
        <v>78340</v>
      </c>
      <c r="I334" t="s">
        <v>15</v>
      </c>
      <c r="J334" s="2">
        <v>3</v>
      </c>
      <c r="K334" t="s">
        <v>16</v>
      </c>
      <c r="L334" s="2">
        <v>4</v>
      </c>
      <c r="M334" t="s">
        <v>16</v>
      </c>
      <c r="N334" s="2">
        <v>6</v>
      </c>
    </row>
    <row r="335" spans="1:14">
      <c r="A335" t="s">
        <v>365</v>
      </c>
      <c r="B335" s="1" t="str">
        <f>"35-3041"</f>
        <v>35-3041</v>
      </c>
      <c r="C335" s="1">
        <v>247.5</v>
      </c>
      <c r="D335" s="1">
        <v>264.8</v>
      </c>
      <c r="E335" s="1">
        <v>17.3</v>
      </c>
      <c r="F335" s="1">
        <v>7</v>
      </c>
      <c r="G335" s="1">
        <v>42.4</v>
      </c>
      <c r="H335" s="2">
        <v>28730</v>
      </c>
      <c r="I335" t="s">
        <v>42</v>
      </c>
      <c r="J335" s="2">
        <v>8</v>
      </c>
      <c r="K335" t="s">
        <v>16</v>
      </c>
      <c r="L335" s="2">
        <v>4</v>
      </c>
      <c r="M335" t="s">
        <v>30</v>
      </c>
      <c r="N335" s="2">
        <v>5</v>
      </c>
    </row>
    <row r="336" spans="1:14">
      <c r="A336" t="s">
        <v>366</v>
      </c>
      <c r="B336" s="1" t="str">
        <f>"11-9051"</f>
        <v>11-9051</v>
      </c>
      <c r="C336" s="1">
        <v>329.1</v>
      </c>
      <c r="D336" s="1">
        <v>361.4</v>
      </c>
      <c r="E336" s="1">
        <v>32.3</v>
      </c>
      <c r="F336" s="1">
        <v>9.8</v>
      </c>
      <c r="G336" s="1">
        <v>45</v>
      </c>
      <c r="H336" s="2">
        <v>59440</v>
      </c>
      <c r="I336" t="s">
        <v>25</v>
      </c>
      <c r="J336" s="2">
        <v>7</v>
      </c>
      <c r="K336" t="s">
        <v>32</v>
      </c>
      <c r="L336" s="2">
        <v>2</v>
      </c>
      <c r="M336" t="s">
        <v>30</v>
      </c>
      <c r="N336" s="2">
        <v>5</v>
      </c>
    </row>
    <row r="337" spans="1:14">
      <c r="A337" t="s">
        <v>367</v>
      </c>
      <c r="B337" s="1" t="str">
        <f>"25-1124"</f>
        <v>25-1124</v>
      </c>
      <c r="C337" s="1">
        <v>25</v>
      </c>
      <c r="D337" s="1">
        <v>27</v>
      </c>
      <c r="E337" s="1">
        <v>2</v>
      </c>
      <c r="F337" s="1">
        <v>7.8</v>
      </c>
      <c r="G337" s="1">
        <v>2.4</v>
      </c>
      <c r="H337" s="2">
        <v>77030</v>
      </c>
      <c r="I337" t="s">
        <v>28</v>
      </c>
      <c r="J337" s="2">
        <v>1</v>
      </c>
      <c r="K337" t="s">
        <v>16</v>
      </c>
      <c r="L337" s="2">
        <v>4</v>
      </c>
      <c r="M337" t="s">
        <v>16</v>
      </c>
      <c r="N337" s="2">
        <v>6</v>
      </c>
    </row>
    <row r="338" spans="1:14">
      <c r="A338" t="s">
        <v>368</v>
      </c>
      <c r="B338" s="1" t="str">
        <f>"19-4092"</f>
        <v>19-4092</v>
      </c>
      <c r="C338" s="1">
        <v>17.6</v>
      </c>
      <c r="D338" s="1">
        <v>19.6</v>
      </c>
      <c r="E338" s="1">
        <v>2</v>
      </c>
      <c r="F338" s="1">
        <v>11.4</v>
      </c>
      <c r="G338" s="1">
        <v>2.5</v>
      </c>
      <c r="H338" s="2">
        <v>61930</v>
      </c>
      <c r="I338" t="s">
        <v>15</v>
      </c>
      <c r="J338" s="2">
        <v>3</v>
      </c>
      <c r="K338" t="s">
        <v>16</v>
      </c>
      <c r="L338" s="2">
        <v>4</v>
      </c>
      <c r="M338" t="s">
        <v>26</v>
      </c>
      <c r="N338" s="2">
        <v>4</v>
      </c>
    </row>
    <row r="339" spans="1:14">
      <c r="A339" t="s">
        <v>369</v>
      </c>
      <c r="B339" s="1" t="str">
        <f>"19-4071"</f>
        <v>19-4071</v>
      </c>
      <c r="C339" s="1">
        <v>32.7</v>
      </c>
      <c r="D339" s="1">
        <v>32.1</v>
      </c>
      <c r="E339" s="1">
        <v>-0.6</v>
      </c>
      <c r="F339" s="1">
        <v>-2</v>
      </c>
      <c r="G339" s="1">
        <v>3.9</v>
      </c>
      <c r="H339" s="2">
        <v>39290</v>
      </c>
      <c r="I339" t="s">
        <v>37</v>
      </c>
      <c r="J339" s="2">
        <v>4</v>
      </c>
      <c r="K339" t="s">
        <v>16</v>
      </c>
      <c r="L339" s="2">
        <v>4</v>
      </c>
      <c r="M339" t="s">
        <v>16</v>
      </c>
      <c r="N339" s="2">
        <v>6</v>
      </c>
    </row>
    <row r="340" spans="1:14">
      <c r="A340" t="s">
        <v>370</v>
      </c>
      <c r="B340" s="1" t="str">
        <f>"45-4011"</f>
        <v>45-4011</v>
      </c>
      <c r="C340" s="1">
        <v>13.1</v>
      </c>
      <c r="D340" s="1">
        <v>12.7</v>
      </c>
      <c r="E340" s="1">
        <v>-0.4</v>
      </c>
      <c r="F340" s="1">
        <v>-3.4</v>
      </c>
      <c r="G340" s="1">
        <v>2.3</v>
      </c>
      <c r="H340" s="2">
        <v>30550</v>
      </c>
      <c r="I340" t="s">
        <v>25</v>
      </c>
      <c r="J340" s="2">
        <v>7</v>
      </c>
      <c r="K340" t="s">
        <v>16</v>
      </c>
      <c r="L340" s="2">
        <v>4</v>
      </c>
      <c r="M340" t="s">
        <v>26</v>
      </c>
      <c r="N340" s="2">
        <v>4</v>
      </c>
    </row>
    <row r="341" spans="1:14">
      <c r="A341" t="s">
        <v>371</v>
      </c>
      <c r="B341" s="1" t="str">
        <f>"33-2022"</f>
        <v>33-2022</v>
      </c>
      <c r="C341" s="1">
        <v>2.9</v>
      </c>
      <c r="D341" s="1">
        <v>3.4</v>
      </c>
      <c r="E341" s="1">
        <v>0.6</v>
      </c>
      <c r="F341" s="1">
        <v>19.4</v>
      </c>
      <c r="G341" s="1">
        <v>0.3</v>
      </c>
      <c r="H341" s="2">
        <v>42600</v>
      </c>
      <c r="I341" t="s">
        <v>25</v>
      </c>
      <c r="J341" s="2">
        <v>7</v>
      </c>
      <c r="K341" t="s">
        <v>32</v>
      </c>
      <c r="L341" s="2">
        <v>2</v>
      </c>
      <c r="M341" t="s">
        <v>26</v>
      </c>
      <c r="N341" s="2">
        <v>4</v>
      </c>
    </row>
    <row r="342" spans="1:14">
      <c r="A342" t="s">
        <v>372</v>
      </c>
      <c r="B342" s="1" t="str">
        <f>"19-1032"</f>
        <v>19-1032</v>
      </c>
      <c r="C342" s="1">
        <v>15</v>
      </c>
      <c r="D342" s="1">
        <v>16.1</v>
      </c>
      <c r="E342" s="1">
        <v>1.1</v>
      </c>
      <c r="F342" s="1">
        <v>7</v>
      </c>
      <c r="G342" s="1">
        <v>1.5</v>
      </c>
      <c r="H342" s="2">
        <v>64110</v>
      </c>
      <c r="I342" t="s">
        <v>15</v>
      </c>
      <c r="J342" s="2">
        <v>3</v>
      </c>
      <c r="K342" t="s">
        <v>16</v>
      </c>
      <c r="L342" s="2">
        <v>4</v>
      </c>
      <c r="M342" t="s">
        <v>16</v>
      </c>
      <c r="N342" s="2">
        <v>6</v>
      </c>
    </row>
    <row r="343" spans="1:14">
      <c r="A343" t="s">
        <v>373</v>
      </c>
      <c r="B343" s="1" t="str">
        <f>"25-1043"</f>
        <v>25-1043</v>
      </c>
      <c r="C343" s="1">
        <v>1.5</v>
      </c>
      <c r="D343" s="1">
        <v>1.6</v>
      </c>
      <c r="E343" s="1">
        <v>0.1</v>
      </c>
      <c r="F343" s="1">
        <v>8.3</v>
      </c>
      <c r="G343" s="1">
        <v>0.1</v>
      </c>
      <c r="H343" s="2">
        <v>82330</v>
      </c>
      <c r="I343" t="s">
        <v>28</v>
      </c>
      <c r="J343" s="2">
        <v>1</v>
      </c>
      <c r="K343" t="s">
        <v>16</v>
      </c>
      <c r="L343" s="2">
        <v>4</v>
      </c>
      <c r="M343" t="s">
        <v>16</v>
      </c>
      <c r="N343" s="2">
        <v>6</v>
      </c>
    </row>
    <row r="344" spans="1:14">
      <c r="A344" t="s">
        <v>374</v>
      </c>
      <c r="B344" s="1" t="str">
        <f>"51-4022"</f>
        <v>51-4022</v>
      </c>
      <c r="C344" s="1">
        <v>11.8</v>
      </c>
      <c r="D344" s="1">
        <v>9.6</v>
      </c>
      <c r="E344" s="1">
        <v>-2.2</v>
      </c>
      <c r="F344" s="1">
        <v>-18.3</v>
      </c>
      <c r="G344" s="1">
        <v>0.9</v>
      </c>
      <c r="H344" s="2">
        <v>44520</v>
      </c>
      <c r="I344" t="s">
        <v>25</v>
      </c>
      <c r="J344" s="2">
        <v>7</v>
      </c>
      <c r="K344" t="s">
        <v>16</v>
      </c>
      <c r="L344" s="2">
        <v>4</v>
      </c>
      <c r="M344" t="s">
        <v>26</v>
      </c>
      <c r="N344" s="2">
        <v>4</v>
      </c>
    </row>
    <row r="345" spans="1:14">
      <c r="A345" t="s">
        <v>375</v>
      </c>
      <c r="B345" s="1" t="str">
        <f>"51-4071"</f>
        <v>51-4071</v>
      </c>
      <c r="C345" s="1">
        <v>14</v>
      </c>
      <c r="D345" s="1">
        <v>12.4</v>
      </c>
      <c r="E345" s="1">
        <v>-1.6</v>
      </c>
      <c r="F345" s="1">
        <v>-11.1</v>
      </c>
      <c r="G345" s="1">
        <v>1.2</v>
      </c>
      <c r="H345" s="2">
        <v>37710</v>
      </c>
      <c r="I345" t="s">
        <v>25</v>
      </c>
      <c r="J345" s="2">
        <v>7</v>
      </c>
      <c r="K345" t="s">
        <v>16</v>
      </c>
      <c r="L345" s="2">
        <v>4</v>
      </c>
      <c r="M345" t="s">
        <v>26</v>
      </c>
      <c r="N345" s="2">
        <v>4</v>
      </c>
    </row>
    <row r="346" spans="1:14">
      <c r="A346" t="s">
        <v>376</v>
      </c>
      <c r="B346" s="1" t="str">
        <f>"13-1131"</f>
        <v>13-1131</v>
      </c>
      <c r="C346" s="1">
        <v>105.8</v>
      </c>
      <c r="D346" s="1">
        <v>117.6</v>
      </c>
      <c r="E346" s="1">
        <v>11.8</v>
      </c>
      <c r="F346" s="1">
        <v>11.2</v>
      </c>
      <c r="G346" s="1">
        <v>11.4</v>
      </c>
      <c r="H346" s="2">
        <v>60660</v>
      </c>
      <c r="I346" t="s">
        <v>15</v>
      </c>
      <c r="J346" s="2">
        <v>3</v>
      </c>
      <c r="K346" t="s">
        <v>16</v>
      </c>
      <c r="L346" s="2">
        <v>4</v>
      </c>
      <c r="M346" t="s">
        <v>16</v>
      </c>
      <c r="N346" s="2">
        <v>6</v>
      </c>
    </row>
    <row r="347" spans="1:14">
      <c r="A347" t="s">
        <v>377</v>
      </c>
      <c r="B347" s="1" t="str">
        <f>"11-2033"</f>
        <v>11-2033</v>
      </c>
      <c r="C347" s="1">
        <v>31.4</v>
      </c>
      <c r="D347" s="1">
        <v>34.5</v>
      </c>
      <c r="E347" s="1">
        <v>3</v>
      </c>
      <c r="F347" s="1">
        <v>9.7</v>
      </c>
      <c r="G347" s="1">
        <v>3</v>
      </c>
      <c r="H347" s="2">
        <v>100810</v>
      </c>
      <c r="I347" t="s">
        <v>15</v>
      </c>
      <c r="J347" s="2">
        <v>3</v>
      </c>
      <c r="K347" t="s">
        <v>29</v>
      </c>
      <c r="L347" s="2">
        <v>1</v>
      </c>
      <c r="M347" t="s">
        <v>16</v>
      </c>
      <c r="N347" s="2">
        <v>6</v>
      </c>
    </row>
    <row r="348" spans="1:14">
      <c r="A348" t="s">
        <v>378</v>
      </c>
      <c r="B348" s="1" t="str">
        <f>"39-4021"</f>
        <v>39-4021</v>
      </c>
      <c r="C348" s="1">
        <v>34</v>
      </c>
      <c r="D348" s="1">
        <v>36.9</v>
      </c>
      <c r="E348" s="1">
        <v>2.9</v>
      </c>
      <c r="F348" s="1">
        <v>8.4</v>
      </c>
      <c r="G348" s="1">
        <v>6</v>
      </c>
      <c r="H348" s="2">
        <v>29230</v>
      </c>
      <c r="I348" t="s">
        <v>25</v>
      </c>
      <c r="J348" s="2">
        <v>7</v>
      </c>
      <c r="K348" t="s">
        <v>16</v>
      </c>
      <c r="L348" s="2">
        <v>4</v>
      </c>
      <c r="M348" t="s">
        <v>30</v>
      </c>
      <c r="N348" s="2">
        <v>5</v>
      </c>
    </row>
    <row r="349" spans="1:14">
      <c r="A349" t="s">
        <v>379</v>
      </c>
      <c r="B349" s="1" t="str">
        <f>"11-9171"</f>
        <v>11-9171</v>
      </c>
      <c r="C349" s="1">
        <v>40.7</v>
      </c>
      <c r="D349" s="1">
        <v>43.5</v>
      </c>
      <c r="E349" s="1">
        <v>2.8</v>
      </c>
      <c r="F349" s="1">
        <v>6.9</v>
      </c>
      <c r="G349" s="1">
        <v>3.6</v>
      </c>
      <c r="H349" s="2">
        <v>74000</v>
      </c>
      <c r="I349" t="s">
        <v>37</v>
      </c>
      <c r="J349" s="2">
        <v>4</v>
      </c>
      <c r="K349" t="s">
        <v>32</v>
      </c>
      <c r="L349" s="2">
        <v>2</v>
      </c>
      <c r="M349" t="s">
        <v>16</v>
      </c>
      <c r="N349" s="2">
        <v>6</v>
      </c>
    </row>
    <row r="350" spans="1:14">
      <c r="A350" t="s">
        <v>380</v>
      </c>
      <c r="B350" s="1" t="str">
        <f>"51-9051"</f>
        <v>51-9051</v>
      </c>
      <c r="C350" s="1">
        <v>15.3</v>
      </c>
      <c r="D350" s="1">
        <v>15.7</v>
      </c>
      <c r="E350" s="1">
        <v>0.4</v>
      </c>
      <c r="F350" s="1">
        <v>2.7</v>
      </c>
      <c r="G350" s="1">
        <v>1.8</v>
      </c>
      <c r="H350" s="2">
        <v>43710</v>
      </c>
      <c r="I350" t="s">
        <v>25</v>
      </c>
      <c r="J350" s="2">
        <v>7</v>
      </c>
      <c r="K350" t="s">
        <v>16</v>
      </c>
      <c r="L350" s="2">
        <v>4</v>
      </c>
      <c r="M350" t="s">
        <v>26</v>
      </c>
      <c r="N350" s="2">
        <v>4</v>
      </c>
    </row>
    <row r="351" spans="1:14">
      <c r="A351" t="s">
        <v>381</v>
      </c>
      <c r="B351" s="1" t="str">
        <f>"51-7021"</f>
        <v>51-7021</v>
      </c>
      <c r="C351" s="1">
        <v>18.7</v>
      </c>
      <c r="D351" s="1">
        <v>19.1</v>
      </c>
      <c r="E351" s="1">
        <v>0.4</v>
      </c>
      <c r="F351" s="1">
        <v>2.2</v>
      </c>
      <c r="G351" s="1">
        <v>2.7</v>
      </c>
      <c r="H351" s="2">
        <v>36580</v>
      </c>
      <c r="I351" t="s">
        <v>25</v>
      </c>
      <c r="J351" s="2">
        <v>7</v>
      </c>
      <c r="K351" t="s">
        <v>16</v>
      </c>
      <c r="L351" s="2">
        <v>4</v>
      </c>
      <c r="M351" t="s">
        <v>30</v>
      </c>
      <c r="N351" s="2">
        <v>5</v>
      </c>
    </row>
    <row r="352" spans="1:14">
      <c r="A352" t="s">
        <v>382</v>
      </c>
      <c r="B352" s="1" t="str">
        <f>"39-3012"</f>
        <v>39-3012</v>
      </c>
      <c r="C352" s="1">
        <v>8</v>
      </c>
      <c r="D352" s="1">
        <v>8.1</v>
      </c>
      <c r="E352" s="1">
        <v>0.1</v>
      </c>
      <c r="F352" s="1">
        <v>0.9</v>
      </c>
      <c r="G352" s="1">
        <v>1.4</v>
      </c>
      <c r="H352" s="2">
        <v>27530</v>
      </c>
      <c r="I352" t="s">
        <v>25</v>
      </c>
      <c r="J352" s="2">
        <v>7</v>
      </c>
      <c r="K352" t="s">
        <v>16</v>
      </c>
      <c r="L352" s="2">
        <v>4</v>
      </c>
      <c r="M352" t="s">
        <v>30</v>
      </c>
      <c r="N352" s="2">
        <v>5</v>
      </c>
    </row>
    <row r="353" spans="1:14">
      <c r="A353" t="s">
        <v>383</v>
      </c>
      <c r="B353" s="1" t="str">
        <f>"43-3041"</f>
        <v>43-3041</v>
      </c>
      <c r="C353" s="1">
        <v>11.6</v>
      </c>
      <c r="D353" s="1">
        <v>11.6</v>
      </c>
      <c r="E353" s="1">
        <v>0</v>
      </c>
      <c r="F353" s="1">
        <v>0.3</v>
      </c>
      <c r="G353" s="1">
        <v>1.3</v>
      </c>
      <c r="H353" s="2">
        <v>29360</v>
      </c>
      <c r="I353" t="s">
        <v>25</v>
      </c>
      <c r="J353" s="2">
        <v>7</v>
      </c>
      <c r="K353" t="s">
        <v>16</v>
      </c>
      <c r="L353" s="2">
        <v>4</v>
      </c>
      <c r="M353" t="s">
        <v>30</v>
      </c>
      <c r="N353" s="2">
        <v>5</v>
      </c>
    </row>
    <row r="354" spans="1:14">
      <c r="A354" t="s">
        <v>384</v>
      </c>
      <c r="B354" s="1" t="str">
        <f>"41-2012"</f>
        <v>41-2012</v>
      </c>
      <c r="C354" s="1">
        <v>17.8</v>
      </c>
      <c r="D354" s="1">
        <v>17.4</v>
      </c>
      <c r="E354" s="1">
        <v>-0.4</v>
      </c>
      <c r="F354" s="1">
        <v>-2.3</v>
      </c>
      <c r="G354" s="1">
        <v>3.3</v>
      </c>
      <c r="H354" s="2">
        <v>28600</v>
      </c>
      <c r="I354" t="s">
        <v>42</v>
      </c>
      <c r="J354" s="2">
        <v>8</v>
      </c>
      <c r="K354" t="s">
        <v>16</v>
      </c>
      <c r="L354" s="2">
        <v>4</v>
      </c>
      <c r="M354" t="s">
        <v>30</v>
      </c>
      <c r="N354" s="2">
        <v>5</v>
      </c>
    </row>
    <row r="355" spans="1:14">
      <c r="A355" t="s">
        <v>385</v>
      </c>
      <c r="B355" s="1" t="str">
        <f>"39-3011"</f>
        <v>39-3011</v>
      </c>
      <c r="C355" s="1">
        <v>68.5</v>
      </c>
      <c r="D355" s="1">
        <v>81.6</v>
      </c>
      <c r="E355" s="1">
        <v>13.1</v>
      </c>
      <c r="F355" s="1">
        <v>19.2</v>
      </c>
      <c r="G355" s="1">
        <v>14.1</v>
      </c>
      <c r="H355" s="2">
        <v>24960</v>
      </c>
      <c r="I355" t="s">
        <v>25</v>
      </c>
      <c r="J355" s="2">
        <v>7</v>
      </c>
      <c r="K355" t="s">
        <v>16</v>
      </c>
      <c r="L355" s="2">
        <v>4</v>
      </c>
      <c r="M355" t="s">
        <v>30</v>
      </c>
      <c r="N355" s="2">
        <v>5</v>
      </c>
    </row>
    <row r="356" spans="1:14">
      <c r="A356" t="s">
        <v>386</v>
      </c>
      <c r="B356" s="1" t="str">
        <f>"11-9071"</f>
        <v>11-9071</v>
      </c>
      <c r="C356" s="1">
        <v>4.1</v>
      </c>
      <c r="D356" s="1">
        <v>4.7</v>
      </c>
      <c r="E356" s="1">
        <v>0.5</v>
      </c>
      <c r="F356" s="1">
        <v>13</v>
      </c>
      <c r="G356" s="1">
        <v>0.5</v>
      </c>
      <c r="H356" s="2">
        <v>76910</v>
      </c>
      <c r="I356" t="s">
        <v>25</v>
      </c>
      <c r="J356" s="2">
        <v>7</v>
      </c>
      <c r="K356" t="s">
        <v>32</v>
      </c>
      <c r="L356" s="2">
        <v>2</v>
      </c>
      <c r="M356" t="s">
        <v>16</v>
      </c>
      <c r="N356" s="2">
        <v>6</v>
      </c>
    </row>
    <row r="357" spans="1:14">
      <c r="A357" t="s">
        <v>387</v>
      </c>
      <c r="B357" s="1" t="str">
        <f>"39-3019"</f>
        <v>39-3019</v>
      </c>
      <c r="C357" s="1">
        <v>11.6</v>
      </c>
      <c r="D357" s="1">
        <v>13.9</v>
      </c>
      <c r="E357" s="1">
        <v>2.2</v>
      </c>
      <c r="F357" s="1">
        <v>19.2</v>
      </c>
      <c r="G357" s="1">
        <v>2.4</v>
      </c>
      <c r="H357" s="2">
        <v>28990</v>
      </c>
      <c r="I357" t="s">
        <v>25</v>
      </c>
      <c r="J357" s="2">
        <v>7</v>
      </c>
      <c r="K357" t="s">
        <v>16</v>
      </c>
      <c r="L357" s="2">
        <v>4</v>
      </c>
      <c r="M357" t="s">
        <v>30</v>
      </c>
      <c r="N357" s="2">
        <v>5</v>
      </c>
    </row>
    <row r="358" spans="1:14">
      <c r="A358" t="s">
        <v>388</v>
      </c>
      <c r="B358" s="1" t="str">
        <f>"33-9031"</f>
        <v>33-9031</v>
      </c>
      <c r="C358" s="1">
        <v>9.5</v>
      </c>
      <c r="D358" s="1">
        <v>10.3</v>
      </c>
      <c r="E358" s="1">
        <v>0.8</v>
      </c>
      <c r="F358" s="1">
        <v>8.5</v>
      </c>
      <c r="G358" s="1">
        <v>1.4</v>
      </c>
      <c r="H358" s="2">
        <v>35450</v>
      </c>
      <c r="I358" t="s">
        <v>25</v>
      </c>
      <c r="J358" s="2">
        <v>7</v>
      </c>
      <c r="K358" t="s">
        <v>32</v>
      </c>
      <c r="L358" s="2">
        <v>2</v>
      </c>
      <c r="M358" t="s">
        <v>26</v>
      </c>
      <c r="N358" s="2">
        <v>4</v>
      </c>
    </row>
    <row r="359" spans="1:14">
      <c r="A359" t="s">
        <v>389</v>
      </c>
      <c r="B359" s="1" t="str">
        <f>"53-7071"</f>
        <v>53-7071</v>
      </c>
      <c r="C359" s="1">
        <v>3</v>
      </c>
      <c r="D359" s="1">
        <v>3</v>
      </c>
      <c r="E359" s="1">
        <v>0</v>
      </c>
      <c r="F359" s="1">
        <v>-0.1</v>
      </c>
      <c r="G359" s="1">
        <v>0.4</v>
      </c>
      <c r="H359" s="2">
        <v>70720</v>
      </c>
      <c r="I359" t="s">
        <v>25</v>
      </c>
      <c r="J359" s="2">
        <v>7</v>
      </c>
      <c r="K359" t="s">
        <v>16</v>
      </c>
      <c r="L359" s="2">
        <v>4</v>
      </c>
      <c r="M359" t="s">
        <v>26</v>
      </c>
      <c r="N359" s="2">
        <v>4</v>
      </c>
    </row>
    <row r="360" spans="1:14">
      <c r="A360" t="s">
        <v>390</v>
      </c>
      <c r="B360" s="1" t="str">
        <f>"51-8092"</f>
        <v>51-8092</v>
      </c>
      <c r="C360" s="1">
        <v>15.3</v>
      </c>
      <c r="D360" s="1">
        <v>14</v>
      </c>
      <c r="E360" s="1">
        <v>-1.4</v>
      </c>
      <c r="F360" s="1">
        <v>-9</v>
      </c>
      <c r="G360" s="1">
        <v>1.4</v>
      </c>
      <c r="H360" s="2">
        <v>77850</v>
      </c>
      <c r="I360" t="s">
        <v>25</v>
      </c>
      <c r="J360" s="2">
        <v>7</v>
      </c>
      <c r="K360" t="s">
        <v>16</v>
      </c>
      <c r="L360" s="2">
        <v>4</v>
      </c>
      <c r="M360" t="s">
        <v>20</v>
      </c>
      <c r="N360" s="2">
        <v>3</v>
      </c>
    </row>
    <row r="361" spans="1:14">
      <c r="A361" t="s">
        <v>391</v>
      </c>
      <c r="B361" s="1" t="str">
        <f>"11-1021"</f>
        <v>11-1021</v>
      </c>
      <c r="C361" s="1">
        <v>3118.4</v>
      </c>
      <c r="D361" s="1">
        <v>3328.2</v>
      </c>
      <c r="E361" s="1">
        <v>209.8</v>
      </c>
      <c r="F361" s="1">
        <v>6.7</v>
      </c>
      <c r="G361" s="1">
        <v>300.4</v>
      </c>
      <c r="H361" s="2">
        <v>97970</v>
      </c>
      <c r="I361" t="s">
        <v>15</v>
      </c>
      <c r="J361" s="2">
        <v>3</v>
      </c>
      <c r="K361" t="s">
        <v>29</v>
      </c>
      <c r="L361" s="2">
        <v>1</v>
      </c>
      <c r="M361" t="s">
        <v>16</v>
      </c>
      <c r="N361" s="2">
        <v>6</v>
      </c>
    </row>
    <row r="362" spans="1:14">
      <c r="A362" t="s">
        <v>392</v>
      </c>
      <c r="B362" s="1" t="str">
        <f>"29-1216"</f>
        <v>29-1216</v>
      </c>
      <c r="C362" s="1">
        <v>63.7</v>
      </c>
      <c r="D362" s="1">
        <v>65</v>
      </c>
      <c r="E362" s="1">
        <v>1.3</v>
      </c>
      <c r="F362" s="1">
        <v>2</v>
      </c>
      <c r="G362" s="1">
        <v>1.9</v>
      </c>
      <c r="H362" s="2" t="s">
        <v>58</v>
      </c>
      <c r="I362" t="s">
        <v>28</v>
      </c>
      <c r="J362" s="2">
        <v>1</v>
      </c>
      <c r="K362" t="s">
        <v>16</v>
      </c>
      <c r="L362" s="2">
        <v>4</v>
      </c>
      <c r="M362" t="s">
        <v>59</v>
      </c>
      <c r="N362" s="2">
        <v>1</v>
      </c>
    </row>
    <row r="363" spans="1:14">
      <c r="A363" t="s">
        <v>393</v>
      </c>
      <c r="B363" s="1" t="str">
        <f>"29-9092"</f>
        <v>29-9092</v>
      </c>
      <c r="C363" s="1">
        <v>2.9</v>
      </c>
      <c r="D363" s="1">
        <v>3.5</v>
      </c>
      <c r="E363" s="1">
        <v>0.5</v>
      </c>
      <c r="F363" s="1">
        <v>18.2</v>
      </c>
      <c r="G363" s="1">
        <v>0.3</v>
      </c>
      <c r="H363" s="2">
        <v>80150</v>
      </c>
      <c r="I363" t="s">
        <v>23</v>
      </c>
      <c r="J363" s="2">
        <v>2</v>
      </c>
      <c r="K363" t="s">
        <v>16</v>
      </c>
      <c r="L363" s="2">
        <v>4</v>
      </c>
      <c r="M363" t="s">
        <v>16</v>
      </c>
      <c r="N363" s="2">
        <v>6</v>
      </c>
    </row>
    <row r="364" spans="1:14">
      <c r="A364" t="s">
        <v>394</v>
      </c>
      <c r="B364" s="1" t="str">
        <f>"19-3092"</f>
        <v>19-3092</v>
      </c>
      <c r="C364" s="1">
        <v>1.6</v>
      </c>
      <c r="D364" s="1">
        <v>1.6</v>
      </c>
      <c r="E364" s="1">
        <v>0</v>
      </c>
      <c r="F364" s="1">
        <v>-0.2</v>
      </c>
      <c r="G364" s="1">
        <v>0.1</v>
      </c>
      <c r="H364" s="2">
        <v>85220</v>
      </c>
      <c r="I364" t="s">
        <v>15</v>
      </c>
      <c r="J364" s="2">
        <v>3</v>
      </c>
      <c r="K364" t="s">
        <v>16</v>
      </c>
      <c r="L364" s="2">
        <v>4</v>
      </c>
      <c r="M364" t="s">
        <v>16</v>
      </c>
      <c r="N364" s="2">
        <v>6</v>
      </c>
    </row>
    <row r="365" spans="1:14">
      <c r="A365" t="s">
        <v>395</v>
      </c>
      <c r="B365" s="1" t="str">
        <f>"25-1064"</f>
        <v>25-1064</v>
      </c>
      <c r="C365" s="1">
        <v>4.3</v>
      </c>
      <c r="D365" s="1">
        <v>4.7</v>
      </c>
      <c r="E365" s="1">
        <v>0.3</v>
      </c>
      <c r="F365" s="1">
        <v>7.6</v>
      </c>
      <c r="G365" s="1">
        <v>0.4</v>
      </c>
      <c r="H365" s="2">
        <v>81440</v>
      </c>
      <c r="I365" t="s">
        <v>28</v>
      </c>
      <c r="J365" s="2">
        <v>1</v>
      </c>
      <c r="K365" t="s">
        <v>16</v>
      </c>
      <c r="L365" s="2">
        <v>4</v>
      </c>
      <c r="M365" t="s">
        <v>16</v>
      </c>
      <c r="N365" s="2">
        <v>6</v>
      </c>
    </row>
    <row r="366" spans="1:14">
      <c r="A366" t="s">
        <v>396</v>
      </c>
      <c r="B366" s="1" t="str">
        <f>"19-4043"</f>
        <v>19-4043</v>
      </c>
      <c r="C366" s="1">
        <v>9.2</v>
      </c>
      <c r="D366" s="1">
        <v>9.7</v>
      </c>
      <c r="E366" s="1">
        <v>0.5</v>
      </c>
      <c r="F366" s="1">
        <v>5.2</v>
      </c>
      <c r="G366" s="1">
        <v>1</v>
      </c>
      <c r="H366" s="2">
        <v>48310</v>
      </c>
      <c r="I366" t="s">
        <v>37</v>
      </c>
      <c r="J366" s="2">
        <v>4</v>
      </c>
      <c r="K366" t="s">
        <v>16</v>
      </c>
      <c r="L366" s="2">
        <v>4</v>
      </c>
      <c r="M366" t="s">
        <v>26</v>
      </c>
      <c r="N366" s="2">
        <v>4</v>
      </c>
    </row>
    <row r="367" spans="1:14">
      <c r="A367" t="s">
        <v>397</v>
      </c>
      <c r="B367" s="1" t="str">
        <f>"19-2042"</f>
        <v>19-2042</v>
      </c>
      <c r="C367" s="1">
        <v>24.9</v>
      </c>
      <c r="D367" s="1">
        <v>26.2</v>
      </c>
      <c r="E367" s="1">
        <v>1.2</v>
      </c>
      <c r="F367" s="1">
        <v>5</v>
      </c>
      <c r="G367" s="1">
        <v>2.4</v>
      </c>
      <c r="H367" s="2">
        <v>83680</v>
      </c>
      <c r="I367" t="s">
        <v>15</v>
      </c>
      <c r="J367" s="2">
        <v>3</v>
      </c>
      <c r="K367" t="s">
        <v>16</v>
      </c>
      <c r="L367" s="2">
        <v>4</v>
      </c>
      <c r="M367" t="s">
        <v>16</v>
      </c>
      <c r="N367" s="2">
        <v>6</v>
      </c>
    </row>
    <row r="368" spans="1:14">
      <c r="A368" t="s">
        <v>398</v>
      </c>
      <c r="B368" s="1" t="str">
        <f>"47-2121"</f>
        <v>47-2121</v>
      </c>
      <c r="C368" s="1">
        <v>56.9</v>
      </c>
      <c r="D368" s="1">
        <v>59.2</v>
      </c>
      <c r="E368" s="1">
        <v>2.3</v>
      </c>
      <c r="F368" s="1">
        <v>4</v>
      </c>
      <c r="G368" s="1">
        <v>6.5</v>
      </c>
      <c r="H368" s="2">
        <v>47180</v>
      </c>
      <c r="I368" t="s">
        <v>25</v>
      </c>
      <c r="J368" s="2">
        <v>7</v>
      </c>
      <c r="K368" t="s">
        <v>16</v>
      </c>
      <c r="L368" s="2">
        <v>4</v>
      </c>
      <c r="M368" t="s">
        <v>104</v>
      </c>
      <c r="N368" s="2">
        <v>2</v>
      </c>
    </row>
    <row r="369" spans="1:14">
      <c r="A369" t="s">
        <v>399</v>
      </c>
      <c r="B369" s="1" t="str">
        <f>"45-2041"</f>
        <v>45-2041</v>
      </c>
      <c r="C369" s="1">
        <v>35.1</v>
      </c>
      <c r="D369" s="1">
        <v>34.8</v>
      </c>
      <c r="E369" s="1">
        <v>-0.3</v>
      </c>
      <c r="F369" s="1">
        <v>-0.8</v>
      </c>
      <c r="G369" s="1">
        <v>5.2</v>
      </c>
      <c r="H369" s="2">
        <v>29630</v>
      </c>
      <c r="I369" t="s">
        <v>42</v>
      </c>
      <c r="J369" s="2">
        <v>8</v>
      </c>
      <c r="K369" t="s">
        <v>16</v>
      </c>
      <c r="L369" s="2">
        <v>4</v>
      </c>
      <c r="M369" t="s">
        <v>30</v>
      </c>
      <c r="N369" s="2">
        <v>5</v>
      </c>
    </row>
    <row r="370" spans="1:14">
      <c r="A370" t="s">
        <v>400</v>
      </c>
      <c r="B370" s="1" t="str">
        <f>"27-1024"</f>
        <v>27-1024</v>
      </c>
      <c r="C370" s="1">
        <v>265</v>
      </c>
      <c r="D370" s="1">
        <v>271.8</v>
      </c>
      <c r="E370" s="1">
        <v>6.8</v>
      </c>
      <c r="F370" s="1">
        <v>2.6</v>
      </c>
      <c r="G370" s="1">
        <v>24.8</v>
      </c>
      <c r="H370" s="2">
        <v>50710</v>
      </c>
      <c r="I370" t="s">
        <v>15</v>
      </c>
      <c r="J370" s="2">
        <v>3</v>
      </c>
      <c r="K370" t="s">
        <v>16</v>
      </c>
      <c r="L370" s="2">
        <v>4</v>
      </c>
      <c r="M370" t="s">
        <v>16</v>
      </c>
      <c r="N370" s="2">
        <v>6</v>
      </c>
    </row>
    <row r="371" spans="1:14">
      <c r="A371" t="s">
        <v>401</v>
      </c>
      <c r="B371" s="1" t="str">
        <f>"51-9022"</f>
        <v>51-9022</v>
      </c>
      <c r="C371" s="1">
        <v>16.1</v>
      </c>
      <c r="D371" s="1">
        <v>13.1</v>
      </c>
      <c r="E371" s="1">
        <v>-3</v>
      </c>
      <c r="F371" s="1">
        <v>-18.7</v>
      </c>
      <c r="G371" s="1">
        <v>1.3</v>
      </c>
      <c r="H371" s="2">
        <v>35670</v>
      </c>
      <c r="I371" t="s">
        <v>42</v>
      </c>
      <c r="J371" s="2">
        <v>8</v>
      </c>
      <c r="K371" t="s">
        <v>16</v>
      </c>
      <c r="L371" s="2">
        <v>4</v>
      </c>
      <c r="M371" t="s">
        <v>26</v>
      </c>
      <c r="N371" s="2">
        <v>4</v>
      </c>
    </row>
    <row r="372" spans="1:14">
      <c r="A372" t="s">
        <v>402</v>
      </c>
      <c r="B372" s="1" t="str">
        <f>"51-4033"</f>
        <v>51-4033</v>
      </c>
      <c r="C372" s="1">
        <v>69</v>
      </c>
      <c r="D372" s="1">
        <v>63</v>
      </c>
      <c r="E372" s="1">
        <v>-6.1</v>
      </c>
      <c r="F372" s="1">
        <v>-8.8</v>
      </c>
      <c r="G372" s="1">
        <v>7.8</v>
      </c>
      <c r="H372" s="2">
        <v>37550</v>
      </c>
      <c r="I372" t="s">
        <v>25</v>
      </c>
      <c r="J372" s="2">
        <v>7</v>
      </c>
      <c r="K372" t="s">
        <v>16</v>
      </c>
      <c r="L372" s="2">
        <v>4</v>
      </c>
      <c r="M372" t="s">
        <v>26</v>
      </c>
      <c r="N372" s="2">
        <v>4</v>
      </c>
    </row>
    <row r="373" spans="1:14">
      <c r="A373" t="s">
        <v>403</v>
      </c>
      <c r="B373" s="1" t="str">
        <f>"37-3019"</f>
        <v>37-3019</v>
      </c>
      <c r="C373" s="1">
        <v>16.1</v>
      </c>
      <c r="D373" s="1">
        <v>16.8</v>
      </c>
      <c r="E373" s="1">
        <v>0.7</v>
      </c>
      <c r="F373" s="1">
        <v>4.5</v>
      </c>
      <c r="G373" s="1">
        <v>2.2</v>
      </c>
      <c r="H373" s="2">
        <v>36540</v>
      </c>
      <c r="I373" t="s">
        <v>42</v>
      </c>
      <c r="J373" s="2">
        <v>8</v>
      </c>
      <c r="K373" t="s">
        <v>16</v>
      </c>
      <c r="L373" s="2">
        <v>4</v>
      </c>
      <c r="M373" t="s">
        <v>30</v>
      </c>
      <c r="N373" s="2">
        <v>5</v>
      </c>
    </row>
    <row r="374" spans="1:14">
      <c r="A374" t="s">
        <v>404</v>
      </c>
      <c r="B374" s="1" t="str">
        <f>"39-5012"</f>
        <v>39-5012</v>
      </c>
      <c r="C374" s="1">
        <v>558.7</v>
      </c>
      <c r="D374" s="1">
        <v>619.5</v>
      </c>
      <c r="E374" s="1">
        <v>60.8</v>
      </c>
      <c r="F374" s="1">
        <v>10.9</v>
      </c>
      <c r="G374" s="1">
        <v>87.2</v>
      </c>
      <c r="H374" s="2">
        <v>29670</v>
      </c>
      <c r="I374" t="s">
        <v>50</v>
      </c>
      <c r="J374" s="2">
        <v>5</v>
      </c>
      <c r="K374" t="s">
        <v>16</v>
      </c>
      <c r="L374" s="2">
        <v>4</v>
      </c>
      <c r="M374" t="s">
        <v>16</v>
      </c>
      <c r="N374" s="2">
        <v>6</v>
      </c>
    </row>
    <row r="375" spans="1:14">
      <c r="A375" t="s">
        <v>405</v>
      </c>
      <c r="B375" s="1" t="str">
        <f>"47-4041"</f>
        <v>47-4041</v>
      </c>
      <c r="C375" s="1">
        <v>44.7</v>
      </c>
      <c r="D375" s="1">
        <v>44.6</v>
      </c>
      <c r="E375" s="1">
        <v>-0.1</v>
      </c>
      <c r="F375" s="1">
        <v>-0.3</v>
      </c>
      <c r="G375" s="1">
        <v>5.7</v>
      </c>
      <c r="H375" s="2">
        <v>46300</v>
      </c>
      <c r="I375" t="s">
        <v>25</v>
      </c>
      <c r="J375" s="2">
        <v>7</v>
      </c>
      <c r="K375" t="s">
        <v>16</v>
      </c>
      <c r="L375" s="2">
        <v>4</v>
      </c>
      <c r="M375" t="s">
        <v>26</v>
      </c>
      <c r="N375" s="2">
        <v>4</v>
      </c>
    </row>
    <row r="376" spans="1:14">
      <c r="A376" t="s">
        <v>406</v>
      </c>
      <c r="B376" s="1" t="str">
        <f>"17-2111"</f>
        <v>17-2111</v>
      </c>
      <c r="C376" s="1">
        <v>23.6</v>
      </c>
      <c r="D376" s="1">
        <v>24.4</v>
      </c>
      <c r="E376" s="1">
        <v>0.8</v>
      </c>
      <c r="F376" s="1">
        <v>3.5</v>
      </c>
      <c r="G376" s="1">
        <v>1.5</v>
      </c>
      <c r="H376" s="2">
        <v>99040</v>
      </c>
      <c r="I376" t="s">
        <v>15</v>
      </c>
      <c r="J376" s="2">
        <v>3</v>
      </c>
      <c r="K376" t="s">
        <v>16</v>
      </c>
      <c r="L376" s="2">
        <v>4</v>
      </c>
      <c r="M376" t="s">
        <v>16</v>
      </c>
      <c r="N376" s="2">
        <v>6</v>
      </c>
    </row>
    <row r="377" spans="1:14">
      <c r="A377" t="s">
        <v>407</v>
      </c>
      <c r="B377" s="1" t="str">
        <f>"21-1091"</f>
        <v>21-1091</v>
      </c>
      <c r="C377" s="1">
        <v>59.6</v>
      </c>
      <c r="D377" s="1">
        <v>64.2</v>
      </c>
      <c r="E377" s="1">
        <v>4.5</v>
      </c>
      <c r="F377" s="1">
        <v>7.6</v>
      </c>
      <c r="G377" s="1">
        <v>7.1</v>
      </c>
      <c r="H377" s="2">
        <v>60600</v>
      </c>
      <c r="I377" t="s">
        <v>15</v>
      </c>
      <c r="J377" s="2">
        <v>3</v>
      </c>
      <c r="K377" t="s">
        <v>16</v>
      </c>
      <c r="L377" s="2">
        <v>4</v>
      </c>
      <c r="M377" t="s">
        <v>16</v>
      </c>
      <c r="N377" s="2">
        <v>6</v>
      </c>
    </row>
    <row r="378" spans="1:14">
      <c r="A378" t="s">
        <v>408</v>
      </c>
      <c r="B378" s="1" t="str">
        <f>"29-9021"</f>
        <v>29-9021</v>
      </c>
      <c r="C378" s="1">
        <v>39.9</v>
      </c>
      <c r="D378" s="1">
        <v>46.9</v>
      </c>
      <c r="E378" s="1">
        <v>7</v>
      </c>
      <c r="F378" s="1">
        <v>17.4</v>
      </c>
      <c r="G378" s="1">
        <v>3.4</v>
      </c>
      <c r="H378" s="2">
        <v>55560</v>
      </c>
      <c r="I378" t="s">
        <v>37</v>
      </c>
      <c r="J378" s="2">
        <v>4</v>
      </c>
      <c r="K378" t="s">
        <v>16</v>
      </c>
      <c r="L378" s="2">
        <v>4</v>
      </c>
      <c r="M378" t="s">
        <v>16</v>
      </c>
      <c r="N378" s="2">
        <v>6</v>
      </c>
    </row>
    <row r="379" spans="1:14">
      <c r="A379" t="s">
        <v>409</v>
      </c>
      <c r="B379" s="1" t="str">
        <f>"25-1071"</f>
        <v>25-1071</v>
      </c>
      <c r="C379" s="1">
        <v>246.7</v>
      </c>
      <c r="D379" s="1">
        <v>306.1</v>
      </c>
      <c r="E379" s="1">
        <v>59.4</v>
      </c>
      <c r="F379" s="1">
        <v>24.1</v>
      </c>
      <c r="G379" s="1">
        <v>28.9</v>
      </c>
      <c r="H379" s="2">
        <v>102720</v>
      </c>
      <c r="I379" t="s">
        <v>28</v>
      </c>
      <c r="J379" s="2">
        <v>1</v>
      </c>
      <c r="K379" t="s">
        <v>32</v>
      </c>
      <c r="L379" s="2">
        <v>2</v>
      </c>
      <c r="M379" t="s">
        <v>16</v>
      </c>
      <c r="N379" s="2">
        <v>6</v>
      </c>
    </row>
    <row r="380" spans="1:14">
      <c r="A380" t="s">
        <v>410</v>
      </c>
      <c r="B380" s="1" t="str">
        <f>"29-2099"</f>
        <v>29-2099</v>
      </c>
      <c r="C380" s="1">
        <v>148</v>
      </c>
      <c r="D380" s="1">
        <v>157.9</v>
      </c>
      <c r="E380" s="1">
        <v>9.9</v>
      </c>
      <c r="F380" s="1">
        <v>6.7</v>
      </c>
      <c r="G380" s="1">
        <v>11.8</v>
      </c>
      <c r="H380" s="2">
        <v>45720</v>
      </c>
      <c r="I380" t="s">
        <v>50</v>
      </c>
      <c r="J380" s="2">
        <v>5</v>
      </c>
      <c r="K380" t="s">
        <v>16</v>
      </c>
      <c r="L380" s="2">
        <v>4</v>
      </c>
      <c r="M380" t="s">
        <v>16</v>
      </c>
      <c r="N380" s="2">
        <v>6</v>
      </c>
    </row>
    <row r="381" spans="1:14">
      <c r="A381" t="s">
        <v>411</v>
      </c>
      <c r="B381" s="1" t="str">
        <f>"29-1299"</f>
        <v>29-1299</v>
      </c>
      <c r="C381" s="1">
        <v>33.9</v>
      </c>
      <c r="D381" s="1">
        <v>33.9</v>
      </c>
      <c r="E381" s="1">
        <v>0</v>
      </c>
      <c r="F381" s="1">
        <v>0</v>
      </c>
      <c r="G381" s="1">
        <v>2.5</v>
      </c>
      <c r="H381" s="2">
        <v>100300</v>
      </c>
      <c r="I381" t="s">
        <v>23</v>
      </c>
      <c r="J381" s="2">
        <v>2</v>
      </c>
      <c r="K381" t="s">
        <v>16</v>
      </c>
      <c r="L381" s="2">
        <v>4</v>
      </c>
      <c r="M381" t="s">
        <v>16</v>
      </c>
      <c r="N381" s="2">
        <v>6</v>
      </c>
    </row>
    <row r="382" spans="1:14">
      <c r="A382" t="s">
        <v>412</v>
      </c>
      <c r="B382" s="1" t="str">
        <f>"29-9099"</f>
        <v>29-9099</v>
      </c>
      <c r="C382" s="1">
        <v>46.6</v>
      </c>
      <c r="D382" s="1">
        <v>49.2</v>
      </c>
      <c r="E382" s="1">
        <v>2.7</v>
      </c>
      <c r="F382" s="1">
        <v>5.7</v>
      </c>
      <c r="G382" s="1">
        <v>3.3</v>
      </c>
      <c r="H382" s="2">
        <v>58750</v>
      </c>
      <c r="I382" t="s">
        <v>50</v>
      </c>
      <c r="J382" s="2">
        <v>5</v>
      </c>
      <c r="K382" t="s">
        <v>16</v>
      </c>
      <c r="L382" s="2">
        <v>4</v>
      </c>
      <c r="M382" t="s">
        <v>16</v>
      </c>
      <c r="N382" s="2">
        <v>6</v>
      </c>
    </row>
    <row r="383" spans="1:14">
      <c r="A383" t="s">
        <v>413</v>
      </c>
      <c r="B383" s="1" t="str">
        <f>"21-1022"</f>
        <v>21-1022</v>
      </c>
      <c r="C383" s="1">
        <v>179.5</v>
      </c>
      <c r="D383" s="1">
        <v>199.3</v>
      </c>
      <c r="E383" s="1">
        <v>19.9</v>
      </c>
      <c r="F383" s="1">
        <v>11.1</v>
      </c>
      <c r="G383" s="1">
        <v>19.7</v>
      </c>
      <c r="H383" s="2">
        <v>60840</v>
      </c>
      <c r="I383" t="s">
        <v>23</v>
      </c>
      <c r="J383" s="2">
        <v>2</v>
      </c>
      <c r="K383" t="s">
        <v>16</v>
      </c>
      <c r="L383" s="2">
        <v>4</v>
      </c>
      <c r="M383" t="s">
        <v>59</v>
      </c>
      <c r="N383" s="2">
        <v>1</v>
      </c>
    </row>
    <row r="384" spans="1:14">
      <c r="A384" t="s">
        <v>414</v>
      </c>
      <c r="B384" s="1" t="str">
        <f>"31-9099"</f>
        <v>31-9099</v>
      </c>
      <c r="C384" s="1">
        <v>112.6</v>
      </c>
      <c r="D384" s="1">
        <v>120</v>
      </c>
      <c r="E384" s="1">
        <v>7.4</v>
      </c>
      <c r="F384" s="1">
        <v>6.6</v>
      </c>
      <c r="G384" s="1">
        <v>17.2</v>
      </c>
      <c r="H384" s="2">
        <v>37740</v>
      </c>
      <c r="I384" t="s">
        <v>25</v>
      </c>
      <c r="J384" s="2">
        <v>7</v>
      </c>
      <c r="K384" t="s">
        <v>16</v>
      </c>
      <c r="L384" s="2">
        <v>4</v>
      </c>
      <c r="M384" t="s">
        <v>16</v>
      </c>
      <c r="N384" s="2">
        <v>6</v>
      </c>
    </row>
    <row r="385" spans="1:14">
      <c r="A385" t="s">
        <v>415</v>
      </c>
      <c r="B385" s="1" t="str">
        <f>"29-2092"</f>
        <v>29-2092</v>
      </c>
      <c r="C385" s="1">
        <v>11.3</v>
      </c>
      <c r="D385" s="1">
        <v>13.1</v>
      </c>
      <c r="E385" s="1">
        <v>1.8</v>
      </c>
      <c r="F385" s="1">
        <v>15.7</v>
      </c>
      <c r="G385" s="1">
        <v>1</v>
      </c>
      <c r="H385" s="2">
        <v>59500</v>
      </c>
      <c r="I385" t="s">
        <v>25</v>
      </c>
      <c r="J385" s="2">
        <v>7</v>
      </c>
      <c r="K385" t="s">
        <v>16</v>
      </c>
      <c r="L385" s="2">
        <v>4</v>
      </c>
      <c r="M385" t="s">
        <v>26</v>
      </c>
      <c r="N385" s="2">
        <v>4</v>
      </c>
    </row>
    <row r="386" spans="1:14">
      <c r="A386" t="s">
        <v>416</v>
      </c>
      <c r="B386" s="1" t="str">
        <f>"51-4191"</f>
        <v>51-4191</v>
      </c>
      <c r="C386" s="1">
        <v>14.9</v>
      </c>
      <c r="D386" s="1">
        <v>13.5</v>
      </c>
      <c r="E386" s="1">
        <v>-1.5</v>
      </c>
      <c r="F386" s="1">
        <v>-9.8</v>
      </c>
      <c r="G386" s="1">
        <v>1.3</v>
      </c>
      <c r="H386" s="2">
        <v>38450</v>
      </c>
      <c r="I386" t="s">
        <v>25</v>
      </c>
      <c r="J386" s="2">
        <v>7</v>
      </c>
      <c r="K386" t="s">
        <v>16</v>
      </c>
      <c r="L386" s="2">
        <v>4</v>
      </c>
      <c r="M386" t="s">
        <v>26</v>
      </c>
      <c r="N386" s="2">
        <v>4</v>
      </c>
    </row>
    <row r="387" spans="1:14">
      <c r="A387" t="s">
        <v>417</v>
      </c>
      <c r="B387" s="1" t="str">
        <f>"49-9021"</f>
        <v>49-9021</v>
      </c>
      <c r="C387" s="1">
        <v>394.1</v>
      </c>
      <c r="D387" s="1">
        <v>414.4</v>
      </c>
      <c r="E387" s="1">
        <v>20.2</v>
      </c>
      <c r="F387" s="1">
        <v>5.1</v>
      </c>
      <c r="G387" s="1">
        <v>40.1</v>
      </c>
      <c r="H387" s="2">
        <v>48630</v>
      </c>
      <c r="I387" t="s">
        <v>50</v>
      </c>
      <c r="J387" s="2">
        <v>5</v>
      </c>
      <c r="K387" t="s">
        <v>16</v>
      </c>
      <c r="L387" s="2">
        <v>4</v>
      </c>
      <c r="M387" t="s">
        <v>20</v>
      </c>
      <c r="N387" s="2">
        <v>3</v>
      </c>
    </row>
    <row r="388" spans="1:14">
      <c r="A388" t="s">
        <v>418</v>
      </c>
      <c r="B388" s="1" t="str">
        <f>"53-3032"</f>
        <v>53-3032</v>
      </c>
      <c r="C388" s="1">
        <v>2094.7</v>
      </c>
      <c r="D388" s="1">
        <v>2185.6</v>
      </c>
      <c r="E388" s="1">
        <v>90.9</v>
      </c>
      <c r="F388" s="1">
        <v>4.3</v>
      </c>
      <c r="G388" s="1">
        <v>259.9</v>
      </c>
      <c r="H388" s="2">
        <v>48310</v>
      </c>
      <c r="I388" t="s">
        <v>50</v>
      </c>
      <c r="J388" s="2">
        <v>5</v>
      </c>
      <c r="K388" t="s">
        <v>16</v>
      </c>
      <c r="L388" s="2">
        <v>4</v>
      </c>
      <c r="M388" t="s">
        <v>30</v>
      </c>
      <c r="N388" s="2">
        <v>5</v>
      </c>
    </row>
    <row r="389" spans="1:14">
      <c r="A389" t="s">
        <v>419</v>
      </c>
      <c r="B389" s="1" t="str">
        <f>"47-3019"</f>
        <v>47-3019</v>
      </c>
      <c r="C389" s="1">
        <v>28.2</v>
      </c>
      <c r="D389" s="1">
        <v>29.2</v>
      </c>
      <c r="E389" s="1">
        <v>1</v>
      </c>
      <c r="F389" s="1">
        <v>3.4</v>
      </c>
      <c r="G389" s="1">
        <v>3.6</v>
      </c>
      <c r="H389" s="2">
        <v>36690</v>
      </c>
      <c r="I389" t="s">
        <v>42</v>
      </c>
      <c r="J389" s="2">
        <v>8</v>
      </c>
      <c r="K389" t="s">
        <v>16</v>
      </c>
      <c r="L389" s="2">
        <v>4</v>
      </c>
      <c r="M389" t="s">
        <v>30</v>
      </c>
      <c r="N389" s="2">
        <v>5</v>
      </c>
    </row>
    <row r="390" spans="1:14">
      <c r="A390" t="s">
        <v>420</v>
      </c>
      <c r="B390" s="1" t="str">
        <f>"47-3011"</f>
        <v>47-3011</v>
      </c>
      <c r="C390" s="1">
        <v>18.6</v>
      </c>
      <c r="D390" s="1">
        <v>17</v>
      </c>
      <c r="E390" s="1">
        <v>-1.5</v>
      </c>
      <c r="F390" s="1">
        <v>-8.3</v>
      </c>
      <c r="G390" s="1">
        <v>2</v>
      </c>
      <c r="H390" s="2">
        <v>37870</v>
      </c>
      <c r="I390" t="s">
        <v>42</v>
      </c>
      <c r="J390" s="2">
        <v>8</v>
      </c>
      <c r="K390" t="s">
        <v>16</v>
      </c>
      <c r="L390" s="2">
        <v>4</v>
      </c>
      <c r="M390" t="s">
        <v>30</v>
      </c>
      <c r="N390" s="2">
        <v>5</v>
      </c>
    </row>
    <row r="391" spans="1:14">
      <c r="A391" t="s">
        <v>421</v>
      </c>
      <c r="B391" s="1" t="str">
        <f>"47-3012"</f>
        <v>47-3012</v>
      </c>
      <c r="C391" s="1">
        <v>28.6</v>
      </c>
      <c r="D391" s="1">
        <v>27.6</v>
      </c>
      <c r="E391" s="1">
        <v>-1</v>
      </c>
      <c r="F391" s="1">
        <v>-3.5</v>
      </c>
      <c r="G391" s="1">
        <v>3.3</v>
      </c>
      <c r="H391" s="2">
        <v>36690</v>
      </c>
      <c r="I391" t="s">
        <v>42</v>
      </c>
      <c r="J391" s="2">
        <v>8</v>
      </c>
      <c r="K391" t="s">
        <v>16</v>
      </c>
      <c r="L391" s="2">
        <v>4</v>
      </c>
      <c r="M391" t="s">
        <v>30</v>
      </c>
      <c r="N391" s="2">
        <v>5</v>
      </c>
    </row>
    <row r="392" spans="1:14">
      <c r="A392" t="s">
        <v>422</v>
      </c>
      <c r="B392" s="1" t="str">
        <f>"47-3013"</f>
        <v>47-3013</v>
      </c>
      <c r="C392" s="1">
        <v>74.6</v>
      </c>
      <c r="D392" s="1">
        <v>72.5</v>
      </c>
      <c r="E392" s="1">
        <v>-2.1</v>
      </c>
      <c r="F392" s="1">
        <v>-2.8</v>
      </c>
      <c r="G392" s="1">
        <v>8.6</v>
      </c>
      <c r="H392" s="2">
        <v>36360</v>
      </c>
      <c r="I392" t="s">
        <v>25</v>
      </c>
      <c r="J392" s="2">
        <v>7</v>
      </c>
      <c r="K392" t="s">
        <v>16</v>
      </c>
      <c r="L392" s="2">
        <v>4</v>
      </c>
      <c r="M392" t="s">
        <v>30</v>
      </c>
      <c r="N392" s="2">
        <v>5</v>
      </c>
    </row>
    <row r="393" spans="1:14">
      <c r="A393" t="s">
        <v>423</v>
      </c>
      <c r="B393" s="1" t="str">
        <f>"47-5081"</f>
        <v>47-5081</v>
      </c>
      <c r="C393" s="1">
        <v>6.2</v>
      </c>
      <c r="D393" s="1">
        <v>7.1</v>
      </c>
      <c r="E393" s="1">
        <v>1</v>
      </c>
      <c r="F393" s="1">
        <v>15.5</v>
      </c>
      <c r="G393" s="1">
        <v>0.9</v>
      </c>
      <c r="H393" s="2">
        <v>37760</v>
      </c>
      <c r="I393" t="s">
        <v>25</v>
      </c>
      <c r="J393" s="2">
        <v>7</v>
      </c>
      <c r="K393" t="s">
        <v>16</v>
      </c>
      <c r="L393" s="2">
        <v>4</v>
      </c>
      <c r="M393" t="s">
        <v>26</v>
      </c>
      <c r="N393" s="2">
        <v>4</v>
      </c>
    </row>
    <row r="394" spans="1:14">
      <c r="A394" t="s">
        <v>424</v>
      </c>
      <c r="B394" s="1" t="str">
        <f>"49-9098"</f>
        <v>49-9098</v>
      </c>
      <c r="C394" s="1">
        <v>90.5</v>
      </c>
      <c r="D394" s="1">
        <v>93.9</v>
      </c>
      <c r="E394" s="1">
        <v>3.4</v>
      </c>
      <c r="F394" s="1">
        <v>3.8</v>
      </c>
      <c r="G394" s="1">
        <v>11.4</v>
      </c>
      <c r="H394" s="2">
        <v>33100</v>
      </c>
      <c r="I394" t="s">
        <v>25</v>
      </c>
      <c r="J394" s="2">
        <v>7</v>
      </c>
      <c r="K394" t="s">
        <v>16</v>
      </c>
      <c r="L394" s="2">
        <v>4</v>
      </c>
      <c r="M394" t="s">
        <v>30</v>
      </c>
      <c r="N394" s="2">
        <v>5</v>
      </c>
    </row>
    <row r="395" spans="1:14">
      <c r="A395" t="s">
        <v>425</v>
      </c>
      <c r="B395" s="1" t="str">
        <f>"47-3014"</f>
        <v>47-3014</v>
      </c>
      <c r="C395" s="1">
        <v>9.1</v>
      </c>
      <c r="D395" s="1">
        <v>9.3</v>
      </c>
      <c r="E395" s="1">
        <v>0.2</v>
      </c>
      <c r="F395" s="1">
        <v>2.6</v>
      </c>
      <c r="G395" s="1">
        <v>1.1</v>
      </c>
      <c r="H395" s="2">
        <v>33370</v>
      </c>
      <c r="I395" t="s">
        <v>42</v>
      </c>
      <c r="J395" s="2">
        <v>8</v>
      </c>
      <c r="K395" t="s">
        <v>16</v>
      </c>
      <c r="L395" s="2">
        <v>4</v>
      </c>
      <c r="M395" t="s">
        <v>30</v>
      </c>
      <c r="N395" s="2">
        <v>5</v>
      </c>
    </row>
    <row r="396" spans="1:14">
      <c r="A396" t="s">
        <v>426</v>
      </c>
      <c r="B396" s="1" t="str">
        <f>"47-3015"</f>
        <v>47-3015</v>
      </c>
      <c r="C396" s="1">
        <v>47.8</v>
      </c>
      <c r="D396" s="1">
        <v>48.8</v>
      </c>
      <c r="E396" s="1">
        <v>1</v>
      </c>
      <c r="F396" s="1">
        <v>2</v>
      </c>
      <c r="G396" s="1">
        <v>5.9</v>
      </c>
      <c r="H396" s="2">
        <v>35720</v>
      </c>
      <c r="I396" t="s">
        <v>25</v>
      </c>
      <c r="J396" s="2">
        <v>7</v>
      </c>
      <c r="K396" t="s">
        <v>16</v>
      </c>
      <c r="L396" s="2">
        <v>4</v>
      </c>
      <c r="M396" t="s">
        <v>30</v>
      </c>
      <c r="N396" s="2">
        <v>5</v>
      </c>
    </row>
    <row r="397" spans="1:14">
      <c r="A397" t="s">
        <v>427</v>
      </c>
      <c r="B397" s="1" t="str">
        <f>"51-9198"</f>
        <v>51-9198</v>
      </c>
      <c r="C397" s="1">
        <v>206.9</v>
      </c>
      <c r="D397" s="1">
        <v>190.3</v>
      </c>
      <c r="E397" s="1">
        <v>-16.5</v>
      </c>
      <c r="F397" s="1">
        <v>-8</v>
      </c>
      <c r="G397" s="1">
        <v>28.7</v>
      </c>
      <c r="H397" s="2">
        <v>30000</v>
      </c>
      <c r="I397" t="s">
        <v>25</v>
      </c>
      <c r="J397" s="2">
        <v>7</v>
      </c>
      <c r="K397" t="s">
        <v>16</v>
      </c>
      <c r="L397" s="2">
        <v>4</v>
      </c>
      <c r="M397" t="s">
        <v>30</v>
      </c>
      <c r="N397" s="2">
        <v>5</v>
      </c>
    </row>
    <row r="398" spans="1:14">
      <c r="A398" t="s">
        <v>428</v>
      </c>
      <c r="B398" s="1" t="str">
        <f>"47-3016"</f>
        <v>47-3016</v>
      </c>
      <c r="C398" s="1">
        <v>7</v>
      </c>
      <c r="D398" s="1">
        <v>7.1</v>
      </c>
      <c r="E398" s="1">
        <v>0.1</v>
      </c>
      <c r="F398" s="1">
        <v>1.9</v>
      </c>
      <c r="G398" s="1">
        <v>0.9</v>
      </c>
      <c r="H398" s="2">
        <v>36360</v>
      </c>
      <c r="I398" t="s">
        <v>42</v>
      </c>
      <c r="J398" s="2">
        <v>8</v>
      </c>
      <c r="K398" t="s">
        <v>16</v>
      </c>
      <c r="L398" s="2">
        <v>4</v>
      </c>
      <c r="M398" t="s">
        <v>30</v>
      </c>
      <c r="N398" s="2">
        <v>5</v>
      </c>
    </row>
    <row r="399" spans="1:14">
      <c r="A399" t="s">
        <v>429</v>
      </c>
      <c r="B399" s="1" t="str">
        <f>"47-4051"</f>
        <v>47-4051</v>
      </c>
      <c r="C399" s="1">
        <v>145.9</v>
      </c>
      <c r="D399" s="1">
        <v>156.3</v>
      </c>
      <c r="E399" s="1">
        <v>10.4</v>
      </c>
      <c r="F399" s="1">
        <v>7.1</v>
      </c>
      <c r="G399" s="1">
        <v>16.5</v>
      </c>
      <c r="H399" s="2">
        <v>45880</v>
      </c>
      <c r="I399" t="s">
        <v>25</v>
      </c>
      <c r="J399" s="2">
        <v>7</v>
      </c>
      <c r="K399" t="s">
        <v>16</v>
      </c>
      <c r="L399" s="2">
        <v>4</v>
      </c>
      <c r="M399" t="s">
        <v>26</v>
      </c>
      <c r="N399" s="2">
        <v>4</v>
      </c>
    </row>
    <row r="400" spans="1:14">
      <c r="A400" t="s">
        <v>430</v>
      </c>
      <c r="B400" s="1" t="str">
        <f>"19-3093"</f>
        <v>19-3093</v>
      </c>
      <c r="C400" s="1">
        <v>3.3</v>
      </c>
      <c r="D400" s="1">
        <v>3.4</v>
      </c>
      <c r="E400" s="1">
        <v>0.1</v>
      </c>
      <c r="F400" s="1">
        <v>4.5</v>
      </c>
      <c r="G400" s="1">
        <v>0.3</v>
      </c>
      <c r="H400" s="2">
        <v>63940</v>
      </c>
      <c r="I400" t="s">
        <v>23</v>
      </c>
      <c r="J400" s="2">
        <v>2</v>
      </c>
      <c r="K400" t="s">
        <v>16</v>
      </c>
      <c r="L400" s="2">
        <v>4</v>
      </c>
      <c r="M400" t="s">
        <v>16</v>
      </c>
      <c r="N400" s="2">
        <v>6</v>
      </c>
    </row>
    <row r="401" spans="1:14">
      <c r="A401" t="s">
        <v>431</v>
      </c>
      <c r="B401" s="1" t="str">
        <f>"25-1125"</f>
        <v>25-1125</v>
      </c>
      <c r="C401" s="1">
        <v>23.7</v>
      </c>
      <c r="D401" s="1">
        <v>25.4</v>
      </c>
      <c r="E401" s="1">
        <v>1.7</v>
      </c>
      <c r="F401" s="1">
        <v>7.4</v>
      </c>
      <c r="G401" s="1">
        <v>2.2</v>
      </c>
      <c r="H401" s="2">
        <v>78130</v>
      </c>
      <c r="I401" t="s">
        <v>28</v>
      </c>
      <c r="J401" s="2">
        <v>1</v>
      </c>
      <c r="K401" t="s">
        <v>16</v>
      </c>
      <c r="L401" s="2">
        <v>4</v>
      </c>
      <c r="M401" t="s">
        <v>16</v>
      </c>
      <c r="N401" s="2">
        <v>6</v>
      </c>
    </row>
    <row r="402" spans="1:14">
      <c r="A402" t="s">
        <v>432</v>
      </c>
      <c r="B402" s="1" t="str">
        <f>"53-7041"</f>
        <v>53-7041</v>
      </c>
      <c r="C402" s="1">
        <v>3.2</v>
      </c>
      <c r="D402" s="1">
        <v>3.2</v>
      </c>
      <c r="E402" s="1">
        <v>0</v>
      </c>
      <c r="F402" s="1">
        <v>1</v>
      </c>
      <c r="G402" s="1">
        <v>0.4</v>
      </c>
      <c r="H402" s="2">
        <v>52300</v>
      </c>
      <c r="I402" t="s">
        <v>42</v>
      </c>
      <c r="J402" s="2">
        <v>8</v>
      </c>
      <c r="K402" t="s">
        <v>16</v>
      </c>
      <c r="L402" s="2">
        <v>4</v>
      </c>
      <c r="M402" t="s">
        <v>30</v>
      </c>
      <c r="N402" s="2">
        <v>5</v>
      </c>
    </row>
    <row r="403" spans="1:14">
      <c r="A403" t="s">
        <v>433</v>
      </c>
      <c r="B403" s="1" t="str">
        <f>"49-9031"</f>
        <v>49-9031</v>
      </c>
      <c r="C403" s="1">
        <v>35.5</v>
      </c>
      <c r="D403" s="1">
        <v>36</v>
      </c>
      <c r="E403" s="1">
        <v>0.5</v>
      </c>
      <c r="F403" s="1">
        <v>1.3</v>
      </c>
      <c r="G403" s="1">
        <v>3.6</v>
      </c>
      <c r="H403" s="2">
        <v>44320</v>
      </c>
      <c r="I403" t="s">
        <v>25</v>
      </c>
      <c r="J403" s="2">
        <v>7</v>
      </c>
      <c r="K403" t="s">
        <v>16</v>
      </c>
      <c r="L403" s="2">
        <v>4</v>
      </c>
      <c r="M403" t="s">
        <v>26</v>
      </c>
      <c r="N403" s="2">
        <v>4</v>
      </c>
    </row>
    <row r="404" spans="1:14">
      <c r="A404" t="s">
        <v>434</v>
      </c>
      <c r="B404" s="1" t="str">
        <f>"31-1120"</f>
        <v>31-1120</v>
      </c>
      <c r="C404" s="1">
        <v>3636.9</v>
      </c>
      <c r="D404" s="1">
        <v>4560.9</v>
      </c>
      <c r="E404" s="1">
        <v>924</v>
      </c>
      <c r="F404" s="1">
        <v>25.4</v>
      </c>
      <c r="G404" s="1">
        <v>711.7</v>
      </c>
      <c r="H404" s="2">
        <v>29430</v>
      </c>
      <c r="I404" t="s">
        <v>25</v>
      </c>
      <c r="J404" s="2">
        <v>7</v>
      </c>
      <c r="K404" t="s">
        <v>16</v>
      </c>
      <c r="L404" s="2">
        <v>4</v>
      </c>
      <c r="M404" t="s">
        <v>30</v>
      </c>
      <c r="N404" s="2">
        <v>5</v>
      </c>
    </row>
    <row r="405" spans="1:14">
      <c r="A405" t="s">
        <v>435</v>
      </c>
      <c r="B405" s="1" t="str">
        <f>"35-9031"</f>
        <v>35-9031</v>
      </c>
      <c r="C405" s="1">
        <v>347.7</v>
      </c>
      <c r="D405" s="1">
        <v>400.3</v>
      </c>
      <c r="E405" s="1">
        <v>52.6</v>
      </c>
      <c r="F405" s="1">
        <v>15.1</v>
      </c>
      <c r="G405" s="1">
        <v>95.2</v>
      </c>
      <c r="H405" s="2">
        <v>24600</v>
      </c>
      <c r="I405" t="s">
        <v>42</v>
      </c>
      <c r="J405" s="2">
        <v>8</v>
      </c>
      <c r="K405" t="s">
        <v>16</v>
      </c>
      <c r="L405" s="2">
        <v>4</v>
      </c>
      <c r="M405" t="s">
        <v>30</v>
      </c>
      <c r="N405" s="2">
        <v>5</v>
      </c>
    </row>
    <row r="406" spans="1:14">
      <c r="A406" t="s">
        <v>436</v>
      </c>
      <c r="B406" s="1" t="str">
        <f>"43-4081"</f>
        <v>43-4081</v>
      </c>
      <c r="C406" s="1">
        <v>238.8</v>
      </c>
      <c r="D406" s="1">
        <v>273.1</v>
      </c>
      <c r="E406" s="1">
        <v>34.3</v>
      </c>
      <c r="F406" s="1">
        <v>14.4</v>
      </c>
      <c r="G406" s="1">
        <v>49.2</v>
      </c>
      <c r="H406" s="2">
        <v>28080</v>
      </c>
      <c r="I406" t="s">
        <v>25</v>
      </c>
      <c r="J406" s="2">
        <v>7</v>
      </c>
      <c r="K406" t="s">
        <v>16</v>
      </c>
      <c r="L406" s="2">
        <v>4</v>
      </c>
      <c r="M406" t="s">
        <v>30</v>
      </c>
      <c r="N406" s="2">
        <v>5</v>
      </c>
    </row>
    <row r="407" spans="1:14">
      <c r="A407" t="s">
        <v>437</v>
      </c>
      <c r="B407" s="1" t="str">
        <f>"43-4161"</f>
        <v>43-4161</v>
      </c>
      <c r="C407" s="1">
        <v>106.1</v>
      </c>
      <c r="D407" s="1">
        <v>101.3</v>
      </c>
      <c r="E407" s="1">
        <v>-4.8</v>
      </c>
      <c r="F407" s="1">
        <v>-4.5</v>
      </c>
      <c r="G407" s="1">
        <v>11.2</v>
      </c>
      <c r="H407" s="2">
        <v>45630</v>
      </c>
      <c r="I407" t="s">
        <v>37</v>
      </c>
      <c r="J407" s="2">
        <v>4</v>
      </c>
      <c r="K407" t="s">
        <v>16</v>
      </c>
      <c r="L407" s="2">
        <v>4</v>
      </c>
      <c r="M407" t="s">
        <v>16</v>
      </c>
      <c r="N407" s="2">
        <v>6</v>
      </c>
    </row>
    <row r="408" spans="1:14">
      <c r="A408" t="s">
        <v>438</v>
      </c>
      <c r="B408" s="1" t="str">
        <f>"11-3121"</f>
        <v>11-3121</v>
      </c>
      <c r="C408" s="1">
        <v>174.2</v>
      </c>
      <c r="D408" s="1">
        <v>186.9</v>
      </c>
      <c r="E408" s="1">
        <v>12.6</v>
      </c>
      <c r="F408" s="1">
        <v>7.3</v>
      </c>
      <c r="G408" s="1">
        <v>16.3</v>
      </c>
      <c r="H408" s="2">
        <v>126230</v>
      </c>
      <c r="I408" t="s">
        <v>15</v>
      </c>
      <c r="J408" s="2">
        <v>3</v>
      </c>
      <c r="K408" t="s">
        <v>29</v>
      </c>
      <c r="L408" s="2">
        <v>1</v>
      </c>
      <c r="M408" t="s">
        <v>16</v>
      </c>
      <c r="N408" s="2">
        <v>6</v>
      </c>
    </row>
    <row r="409" spans="1:14">
      <c r="A409" t="s">
        <v>439</v>
      </c>
      <c r="B409" s="1" t="str">
        <f>"13-1071"</f>
        <v>13-1071</v>
      </c>
      <c r="C409" s="1">
        <v>782.8</v>
      </c>
      <c r="D409" s="1">
        <v>841.6</v>
      </c>
      <c r="E409" s="1">
        <v>58.8</v>
      </c>
      <c r="F409" s="1">
        <v>7.5</v>
      </c>
      <c r="G409" s="1">
        <v>81.9</v>
      </c>
      <c r="H409" s="2">
        <v>62290</v>
      </c>
      <c r="I409" t="s">
        <v>15</v>
      </c>
      <c r="J409" s="2">
        <v>3</v>
      </c>
      <c r="K409" t="s">
        <v>16</v>
      </c>
      <c r="L409" s="2">
        <v>4</v>
      </c>
      <c r="M409" t="s">
        <v>16</v>
      </c>
      <c r="N409" s="2">
        <v>6</v>
      </c>
    </row>
    <row r="410" spans="1:14">
      <c r="A410" t="s">
        <v>440</v>
      </c>
      <c r="B410" s="1" t="str">
        <f>"19-4044"</f>
        <v>19-4044</v>
      </c>
      <c r="C410" s="1">
        <v>3.8</v>
      </c>
      <c r="D410" s="1">
        <v>3.8</v>
      </c>
      <c r="E410" s="1">
        <v>0</v>
      </c>
      <c r="F410" s="1">
        <v>0.9</v>
      </c>
      <c r="G410" s="1">
        <v>0.4</v>
      </c>
      <c r="H410" s="2">
        <v>62280</v>
      </c>
      <c r="I410" t="s">
        <v>37</v>
      </c>
      <c r="J410" s="2">
        <v>4</v>
      </c>
      <c r="K410" t="s">
        <v>16</v>
      </c>
      <c r="L410" s="2">
        <v>4</v>
      </c>
      <c r="M410" t="s">
        <v>26</v>
      </c>
      <c r="N410" s="2">
        <v>4</v>
      </c>
    </row>
    <row r="411" spans="1:14">
      <c r="A411" t="s">
        <v>441</v>
      </c>
      <c r="B411" s="1" t="str">
        <f>"19-2043"</f>
        <v>19-2043</v>
      </c>
      <c r="C411" s="1">
        <v>6.8</v>
      </c>
      <c r="D411" s="1">
        <v>6.7</v>
      </c>
      <c r="E411" s="1">
        <v>0</v>
      </c>
      <c r="F411" s="1">
        <v>-0.4</v>
      </c>
      <c r="G411" s="1">
        <v>0.6</v>
      </c>
      <c r="H411" s="2">
        <v>84030</v>
      </c>
      <c r="I411" t="s">
        <v>15</v>
      </c>
      <c r="J411" s="2">
        <v>3</v>
      </c>
      <c r="K411" t="s">
        <v>16</v>
      </c>
      <c r="L411" s="2">
        <v>4</v>
      </c>
      <c r="M411" t="s">
        <v>16</v>
      </c>
      <c r="N411" s="2">
        <v>6</v>
      </c>
    </row>
    <row r="412" spans="1:14">
      <c r="A412" t="s">
        <v>442</v>
      </c>
      <c r="B412" s="1" t="str">
        <f>"17-3026"</f>
        <v>17-3026</v>
      </c>
      <c r="C412" s="1">
        <v>64.2</v>
      </c>
      <c r="D412" s="1">
        <v>66.3</v>
      </c>
      <c r="E412" s="1">
        <v>2.1</v>
      </c>
      <c r="F412" s="1">
        <v>3.3</v>
      </c>
      <c r="G412" s="1">
        <v>6.6</v>
      </c>
      <c r="H412" s="2">
        <v>60220</v>
      </c>
      <c r="I412" t="s">
        <v>37</v>
      </c>
      <c r="J412" s="2">
        <v>4</v>
      </c>
      <c r="K412" t="s">
        <v>16</v>
      </c>
      <c r="L412" s="2">
        <v>4</v>
      </c>
      <c r="M412" t="s">
        <v>16</v>
      </c>
      <c r="N412" s="2">
        <v>6</v>
      </c>
    </row>
    <row r="413" spans="1:14">
      <c r="A413" t="s">
        <v>443</v>
      </c>
      <c r="B413" s="1" t="str">
        <f>"17-2112"</f>
        <v>17-2112</v>
      </c>
      <c r="C413" s="1">
        <v>301</v>
      </c>
      <c r="D413" s="1">
        <v>331.6</v>
      </c>
      <c r="E413" s="1">
        <v>30.6</v>
      </c>
      <c r="F413" s="1">
        <v>10.2</v>
      </c>
      <c r="G413" s="1">
        <v>22.4</v>
      </c>
      <c r="H413" s="2">
        <v>95300</v>
      </c>
      <c r="I413" t="s">
        <v>15</v>
      </c>
      <c r="J413" s="2">
        <v>3</v>
      </c>
      <c r="K413" t="s">
        <v>16</v>
      </c>
      <c r="L413" s="2">
        <v>4</v>
      </c>
      <c r="M413" t="s">
        <v>16</v>
      </c>
      <c r="N413" s="2">
        <v>6</v>
      </c>
    </row>
    <row r="414" spans="1:14">
      <c r="A414" t="s">
        <v>444</v>
      </c>
      <c r="B414" s="1" t="str">
        <f>"49-9041"</f>
        <v>49-9041</v>
      </c>
      <c r="C414" s="1">
        <v>384.8</v>
      </c>
      <c r="D414" s="1">
        <v>447.9</v>
      </c>
      <c r="E414" s="1">
        <v>63.1</v>
      </c>
      <c r="F414" s="1">
        <v>16.4</v>
      </c>
      <c r="G414" s="1">
        <v>42.5</v>
      </c>
      <c r="H414" s="2">
        <v>59840</v>
      </c>
      <c r="I414" t="s">
        <v>25</v>
      </c>
      <c r="J414" s="2">
        <v>7</v>
      </c>
      <c r="K414" t="s">
        <v>16</v>
      </c>
      <c r="L414" s="2">
        <v>4</v>
      </c>
      <c r="M414" t="s">
        <v>20</v>
      </c>
      <c r="N414" s="2">
        <v>3</v>
      </c>
    </row>
    <row r="415" spans="1:14">
      <c r="A415" t="s">
        <v>445</v>
      </c>
      <c r="B415" s="1" t="str">
        <f>"11-3051"</f>
        <v>11-3051</v>
      </c>
      <c r="C415" s="1">
        <v>203.8</v>
      </c>
      <c r="D415" s="1">
        <v>210.9</v>
      </c>
      <c r="E415" s="1">
        <v>7.1</v>
      </c>
      <c r="F415" s="1">
        <v>3.5</v>
      </c>
      <c r="G415" s="1">
        <v>15.4</v>
      </c>
      <c r="H415" s="2">
        <v>103150</v>
      </c>
      <c r="I415" t="s">
        <v>15</v>
      </c>
      <c r="J415" s="2">
        <v>3</v>
      </c>
      <c r="K415" t="s">
        <v>29</v>
      </c>
      <c r="L415" s="2">
        <v>1</v>
      </c>
      <c r="M415" t="s">
        <v>16</v>
      </c>
      <c r="N415" s="2">
        <v>6</v>
      </c>
    </row>
    <row r="416" spans="1:14">
      <c r="A416" t="s">
        <v>446</v>
      </c>
      <c r="B416" s="1" t="str">
        <f>"53-7051"</f>
        <v>53-7051</v>
      </c>
      <c r="C416" s="1">
        <v>767.4</v>
      </c>
      <c r="D416" s="1">
        <v>821.6</v>
      </c>
      <c r="E416" s="1">
        <v>54.2</v>
      </c>
      <c r="F416" s="1">
        <v>7.1</v>
      </c>
      <c r="G416" s="1">
        <v>95.3</v>
      </c>
      <c r="H416" s="2">
        <v>38380</v>
      </c>
      <c r="I416" t="s">
        <v>42</v>
      </c>
      <c r="J416" s="2">
        <v>8</v>
      </c>
      <c r="K416" t="s">
        <v>16</v>
      </c>
      <c r="L416" s="2">
        <v>4</v>
      </c>
      <c r="M416" t="s">
        <v>30</v>
      </c>
      <c r="N416" s="2">
        <v>5</v>
      </c>
    </row>
    <row r="417" spans="1:14">
      <c r="A417" t="s">
        <v>447</v>
      </c>
      <c r="B417" s="1" t="str">
        <f>"19-3032"</f>
        <v>19-3032</v>
      </c>
      <c r="C417" s="1">
        <v>2.9</v>
      </c>
      <c r="D417" s="1">
        <v>3</v>
      </c>
      <c r="E417" s="1">
        <v>0.1</v>
      </c>
      <c r="F417" s="1">
        <v>3.8</v>
      </c>
      <c r="G417" s="1">
        <v>0.2</v>
      </c>
      <c r="H417" s="2">
        <v>105310</v>
      </c>
      <c r="I417" t="s">
        <v>23</v>
      </c>
      <c r="J417" s="2">
        <v>2</v>
      </c>
      <c r="K417" t="s">
        <v>16</v>
      </c>
      <c r="L417" s="2">
        <v>4</v>
      </c>
      <c r="M417" t="s">
        <v>59</v>
      </c>
      <c r="N417" s="2">
        <v>1</v>
      </c>
    </row>
    <row r="418" spans="1:14">
      <c r="A418" t="s">
        <v>448</v>
      </c>
      <c r="B418" s="1" t="str">
        <f>"43-4199"</f>
        <v>43-4199</v>
      </c>
      <c r="C418" s="1">
        <v>165.6</v>
      </c>
      <c r="D418" s="1">
        <v>169.8</v>
      </c>
      <c r="E418" s="1">
        <v>4.2</v>
      </c>
      <c r="F418" s="1">
        <v>2.6</v>
      </c>
      <c r="G418" s="1">
        <v>20.1</v>
      </c>
      <c r="H418" s="2">
        <v>43160</v>
      </c>
      <c r="I418" t="s">
        <v>25</v>
      </c>
      <c r="J418" s="2">
        <v>7</v>
      </c>
      <c r="K418" t="s">
        <v>16</v>
      </c>
      <c r="L418" s="2">
        <v>4</v>
      </c>
      <c r="M418" t="s">
        <v>30</v>
      </c>
      <c r="N418" s="2">
        <v>5</v>
      </c>
    </row>
    <row r="419" spans="1:14">
      <c r="A419" t="s">
        <v>449</v>
      </c>
      <c r="B419" s="1" t="str">
        <f>"15-1212"</f>
        <v>15-1212</v>
      </c>
      <c r="C419" s="1">
        <v>163</v>
      </c>
      <c r="D419" s="1">
        <v>219.5</v>
      </c>
      <c r="E419" s="1">
        <v>56.5</v>
      </c>
      <c r="F419" s="1">
        <v>34.7</v>
      </c>
      <c r="G419" s="1">
        <v>19.5</v>
      </c>
      <c r="H419" s="2">
        <v>102600</v>
      </c>
      <c r="I419" t="s">
        <v>15</v>
      </c>
      <c r="J419" s="2">
        <v>3</v>
      </c>
      <c r="K419" t="s">
        <v>32</v>
      </c>
      <c r="L419" s="2">
        <v>2</v>
      </c>
      <c r="M419" t="s">
        <v>16</v>
      </c>
      <c r="N419" s="2">
        <v>6</v>
      </c>
    </row>
    <row r="420" spans="1:14">
      <c r="A420" t="s">
        <v>450</v>
      </c>
      <c r="B420" s="1" t="str">
        <f>"51-9061"</f>
        <v>51-9061</v>
      </c>
      <c r="C420" s="1">
        <v>571.6</v>
      </c>
      <c r="D420" s="1">
        <v>554.5</v>
      </c>
      <c r="E420" s="1">
        <v>-17.2</v>
      </c>
      <c r="F420" s="1">
        <v>-3</v>
      </c>
      <c r="G420" s="1">
        <v>67.8</v>
      </c>
      <c r="H420" s="2">
        <v>38580</v>
      </c>
      <c r="I420" t="s">
        <v>25</v>
      </c>
      <c r="J420" s="2">
        <v>7</v>
      </c>
      <c r="K420" t="s">
        <v>16</v>
      </c>
      <c r="L420" s="2">
        <v>4</v>
      </c>
      <c r="M420" t="s">
        <v>26</v>
      </c>
      <c r="N420" s="2">
        <v>4</v>
      </c>
    </row>
    <row r="421" spans="1:14">
      <c r="A421" t="s">
        <v>451</v>
      </c>
      <c r="B421" s="1" t="str">
        <f>"49-9099"</f>
        <v>49-9099</v>
      </c>
      <c r="C421" s="1">
        <v>180.5</v>
      </c>
      <c r="D421" s="1">
        <v>186.3</v>
      </c>
      <c r="E421" s="1">
        <v>5.8</v>
      </c>
      <c r="F421" s="1">
        <v>3.2</v>
      </c>
      <c r="G421" s="1">
        <v>19.3</v>
      </c>
      <c r="H421" s="2">
        <v>42570</v>
      </c>
      <c r="I421" t="s">
        <v>25</v>
      </c>
      <c r="J421" s="2">
        <v>7</v>
      </c>
      <c r="K421" t="s">
        <v>16</v>
      </c>
      <c r="L421" s="2">
        <v>4</v>
      </c>
      <c r="M421" t="s">
        <v>26</v>
      </c>
      <c r="N421" s="2">
        <v>4</v>
      </c>
    </row>
    <row r="422" spans="1:14">
      <c r="A422" t="s">
        <v>452</v>
      </c>
      <c r="B422" s="1" t="str">
        <f>"25-9031"</f>
        <v>25-9031</v>
      </c>
      <c r="C422" s="1">
        <v>205.7</v>
      </c>
      <c r="D422" s="1">
        <v>220.8</v>
      </c>
      <c r="E422" s="1">
        <v>15</v>
      </c>
      <c r="F422" s="1">
        <v>7.3</v>
      </c>
      <c r="G422" s="1">
        <v>20.9</v>
      </c>
      <c r="H422" s="2">
        <v>63740</v>
      </c>
      <c r="I422" t="s">
        <v>23</v>
      </c>
      <c r="J422" s="2">
        <v>2</v>
      </c>
      <c r="K422" t="s">
        <v>29</v>
      </c>
      <c r="L422" s="2">
        <v>1</v>
      </c>
      <c r="M422" t="s">
        <v>16</v>
      </c>
      <c r="N422" s="2">
        <v>6</v>
      </c>
    </row>
    <row r="423" spans="1:14">
      <c r="A423" t="s">
        <v>453</v>
      </c>
      <c r="B423" s="1" t="str">
        <f>"47-2131"</f>
        <v>47-2131</v>
      </c>
      <c r="C423" s="1">
        <v>33.7</v>
      </c>
      <c r="D423" s="1">
        <v>34.9</v>
      </c>
      <c r="E423" s="1">
        <v>1.3</v>
      </c>
      <c r="F423" s="1">
        <v>3.8</v>
      </c>
      <c r="G423" s="1">
        <v>3.1</v>
      </c>
      <c r="H423" s="2">
        <v>39880</v>
      </c>
      <c r="I423" t="s">
        <v>42</v>
      </c>
      <c r="J423" s="2">
        <v>8</v>
      </c>
      <c r="K423" t="s">
        <v>16</v>
      </c>
      <c r="L423" s="2">
        <v>4</v>
      </c>
      <c r="M423" t="s">
        <v>30</v>
      </c>
      <c r="N423" s="2">
        <v>5</v>
      </c>
    </row>
    <row r="424" spans="1:14">
      <c r="A424" t="s">
        <v>454</v>
      </c>
      <c r="B424" s="1" t="str">
        <f>"47-2132"</f>
        <v>47-2132</v>
      </c>
      <c r="C424" s="1">
        <v>31.2</v>
      </c>
      <c r="D424" s="1">
        <v>32.1</v>
      </c>
      <c r="E424" s="1">
        <v>0.9</v>
      </c>
      <c r="F424" s="1">
        <v>2.8</v>
      </c>
      <c r="G424" s="1">
        <v>2.9</v>
      </c>
      <c r="H424" s="2">
        <v>48260</v>
      </c>
      <c r="I424" t="s">
        <v>25</v>
      </c>
      <c r="J424" s="2">
        <v>7</v>
      </c>
      <c r="K424" t="s">
        <v>16</v>
      </c>
      <c r="L424" s="2">
        <v>4</v>
      </c>
      <c r="M424" t="s">
        <v>104</v>
      </c>
      <c r="N424" s="2">
        <v>2</v>
      </c>
    </row>
    <row r="425" spans="1:14">
      <c r="A425" t="s">
        <v>455</v>
      </c>
      <c r="B425" s="1" t="str">
        <f>"13-1032"</f>
        <v>13-1032</v>
      </c>
      <c r="C425" s="1">
        <v>13.2</v>
      </c>
      <c r="D425" s="1">
        <v>12.5</v>
      </c>
      <c r="E425" s="1">
        <v>-0.7</v>
      </c>
      <c r="F425" s="1">
        <v>-5.3</v>
      </c>
      <c r="G425" s="1">
        <v>0.9</v>
      </c>
      <c r="H425" s="2">
        <v>62680</v>
      </c>
      <c r="I425" t="s">
        <v>50</v>
      </c>
      <c r="J425" s="2">
        <v>5</v>
      </c>
      <c r="K425" t="s">
        <v>16</v>
      </c>
      <c r="L425" s="2">
        <v>4</v>
      </c>
      <c r="M425" t="s">
        <v>26</v>
      </c>
      <c r="N425" s="2">
        <v>4</v>
      </c>
    </row>
    <row r="426" spans="1:14">
      <c r="A426" t="s">
        <v>456</v>
      </c>
      <c r="B426" s="1" t="str">
        <f>"43-9041"</f>
        <v>43-9041</v>
      </c>
      <c r="C426" s="1">
        <v>247.8</v>
      </c>
      <c r="D426" s="1">
        <v>242</v>
      </c>
      <c r="E426" s="1">
        <v>-5.8</v>
      </c>
      <c r="F426" s="1">
        <v>-2.3</v>
      </c>
      <c r="G426" s="1">
        <v>24.6</v>
      </c>
      <c r="H426" s="2">
        <v>45520</v>
      </c>
      <c r="I426" t="s">
        <v>25</v>
      </c>
      <c r="J426" s="2">
        <v>7</v>
      </c>
      <c r="K426" t="s">
        <v>16</v>
      </c>
      <c r="L426" s="2">
        <v>4</v>
      </c>
      <c r="M426" t="s">
        <v>26</v>
      </c>
      <c r="N426" s="2">
        <v>4</v>
      </c>
    </row>
    <row r="427" spans="1:14">
      <c r="A427" t="s">
        <v>457</v>
      </c>
      <c r="B427" s="1" t="str">
        <f>"41-3021"</f>
        <v>41-3021</v>
      </c>
      <c r="C427" s="1">
        <v>523.2</v>
      </c>
      <c r="D427" s="1">
        <v>556.2</v>
      </c>
      <c r="E427" s="1">
        <v>32.9</v>
      </c>
      <c r="F427" s="1">
        <v>6.3</v>
      </c>
      <c r="G427" s="1">
        <v>52.7</v>
      </c>
      <c r="H427" s="2">
        <v>49840</v>
      </c>
      <c r="I427" t="s">
        <v>25</v>
      </c>
      <c r="J427" s="2">
        <v>7</v>
      </c>
      <c r="K427" t="s">
        <v>16</v>
      </c>
      <c r="L427" s="2">
        <v>4</v>
      </c>
      <c r="M427" t="s">
        <v>26</v>
      </c>
      <c r="N427" s="2">
        <v>4</v>
      </c>
    </row>
    <row r="428" spans="1:14">
      <c r="A428" t="s">
        <v>458</v>
      </c>
      <c r="B428" s="1" t="str">
        <f>"13-2053"</f>
        <v>13-2053</v>
      </c>
      <c r="C428" s="1">
        <v>123.3</v>
      </c>
      <c r="D428" s="1">
        <v>117.8</v>
      </c>
      <c r="E428" s="1">
        <v>-5.5</v>
      </c>
      <c r="F428" s="1">
        <v>-4.5</v>
      </c>
      <c r="G428" s="1">
        <v>8.4</v>
      </c>
      <c r="H428" s="2">
        <v>76390</v>
      </c>
      <c r="I428" t="s">
        <v>15</v>
      </c>
      <c r="J428" s="2">
        <v>3</v>
      </c>
      <c r="K428" t="s">
        <v>16</v>
      </c>
      <c r="L428" s="2">
        <v>4</v>
      </c>
      <c r="M428" t="s">
        <v>26</v>
      </c>
      <c r="N428" s="2">
        <v>4</v>
      </c>
    </row>
    <row r="429" spans="1:14">
      <c r="A429" t="s">
        <v>459</v>
      </c>
      <c r="B429" s="1" t="str">
        <f>"27-1025"</f>
        <v>27-1025</v>
      </c>
      <c r="C429" s="1">
        <v>93.3</v>
      </c>
      <c r="D429" s="1">
        <v>94.2</v>
      </c>
      <c r="E429" s="1">
        <v>0.8</v>
      </c>
      <c r="F429" s="1">
        <v>0.9</v>
      </c>
      <c r="G429" s="1">
        <v>8.2</v>
      </c>
      <c r="H429" s="2">
        <v>60340</v>
      </c>
      <c r="I429" t="s">
        <v>15</v>
      </c>
      <c r="J429" s="2">
        <v>3</v>
      </c>
      <c r="K429" t="s">
        <v>16</v>
      </c>
      <c r="L429" s="2">
        <v>4</v>
      </c>
      <c r="M429" t="s">
        <v>16</v>
      </c>
      <c r="N429" s="2">
        <v>6</v>
      </c>
    </row>
    <row r="430" spans="1:14">
      <c r="A430" t="s">
        <v>460</v>
      </c>
      <c r="B430" s="1" t="str">
        <f>"27-3091"</f>
        <v>27-3091</v>
      </c>
      <c r="C430" s="1">
        <v>69.4</v>
      </c>
      <c r="D430" s="1">
        <v>83.4</v>
      </c>
      <c r="E430" s="1">
        <v>14</v>
      </c>
      <c r="F430" s="1">
        <v>20.2</v>
      </c>
      <c r="G430" s="1">
        <v>9.2</v>
      </c>
      <c r="H430" s="2">
        <v>49110</v>
      </c>
      <c r="I430" t="s">
        <v>15</v>
      </c>
      <c r="J430" s="2">
        <v>3</v>
      </c>
      <c r="K430" t="s">
        <v>16</v>
      </c>
      <c r="L430" s="2">
        <v>4</v>
      </c>
      <c r="M430" t="s">
        <v>16</v>
      </c>
      <c r="N430" s="2">
        <v>6</v>
      </c>
    </row>
    <row r="431" spans="1:14">
      <c r="A431" t="s">
        <v>461</v>
      </c>
      <c r="B431" s="1" t="str">
        <f>"43-4111"</f>
        <v>43-4111</v>
      </c>
      <c r="C431" s="1">
        <v>176.3</v>
      </c>
      <c r="D431" s="1">
        <v>161.7</v>
      </c>
      <c r="E431" s="1">
        <v>-14.6</v>
      </c>
      <c r="F431" s="1">
        <v>-8.3</v>
      </c>
      <c r="G431" s="1">
        <v>20.7</v>
      </c>
      <c r="H431" s="2">
        <v>37220</v>
      </c>
      <c r="I431" t="s">
        <v>25</v>
      </c>
      <c r="J431" s="2">
        <v>7</v>
      </c>
      <c r="K431" t="s">
        <v>16</v>
      </c>
      <c r="L431" s="2">
        <v>4</v>
      </c>
      <c r="M431" t="s">
        <v>30</v>
      </c>
      <c r="N431" s="2">
        <v>5</v>
      </c>
    </row>
    <row r="432" spans="1:14">
      <c r="A432" t="s">
        <v>462</v>
      </c>
      <c r="B432" s="1" t="str">
        <f>"37-2011"</f>
        <v>37-2011</v>
      </c>
      <c r="C432" s="1">
        <v>2298.4</v>
      </c>
      <c r="D432" s="1">
        <v>2383.9</v>
      </c>
      <c r="E432" s="1">
        <v>85.5</v>
      </c>
      <c r="F432" s="1">
        <v>3.7</v>
      </c>
      <c r="G432" s="1">
        <v>335.5</v>
      </c>
      <c r="H432" s="2">
        <v>29760</v>
      </c>
      <c r="I432" t="s">
        <v>42</v>
      </c>
      <c r="J432" s="2">
        <v>8</v>
      </c>
      <c r="K432" t="s">
        <v>16</v>
      </c>
      <c r="L432" s="2">
        <v>4</v>
      </c>
      <c r="M432" t="s">
        <v>30</v>
      </c>
      <c r="N432" s="2">
        <v>5</v>
      </c>
    </row>
    <row r="433" spans="1:14">
      <c r="A433" t="s">
        <v>463</v>
      </c>
      <c r="B433" s="1" t="str">
        <f>"51-9071"</f>
        <v>51-9071</v>
      </c>
      <c r="C433" s="1">
        <v>45.8</v>
      </c>
      <c r="D433" s="1">
        <v>46.4</v>
      </c>
      <c r="E433" s="1">
        <v>0.6</v>
      </c>
      <c r="F433" s="1">
        <v>1.4</v>
      </c>
      <c r="G433" s="1">
        <v>6.1</v>
      </c>
      <c r="H433" s="2">
        <v>46640</v>
      </c>
      <c r="I433" t="s">
        <v>25</v>
      </c>
      <c r="J433" s="2">
        <v>7</v>
      </c>
      <c r="K433" t="s">
        <v>16</v>
      </c>
      <c r="L433" s="2">
        <v>4</v>
      </c>
      <c r="M433" t="s">
        <v>20</v>
      </c>
      <c r="N433" s="2">
        <v>3</v>
      </c>
    </row>
    <row r="434" spans="1:14">
      <c r="A434" t="s">
        <v>464</v>
      </c>
      <c r="B434" s="1" t="str">
        <f>"23-1023"</f>
        <v>23-1023</v>
      </c>
      <c r="C434" s="1">
        <v>28.5</v>
      </c>
      <c r="D434" s="1">
        <v>28.4</v>
      </c>
      <c r="E434" s="1">
        <v>-0.2</v>
      </c>
      <c r="F434" s="1">
        <v>-0.6</v>
      </c>
      <c r="G434" s="1">
        <v>1.3</v>
      </c>
      <c r="H434" s="2">
        <v>148030</v>
      </c>
      <c r="I434" t="s">
        <v>28</v>
      </c>
      <c r="J434" s="2">
        <v>1</v>
      </c>
      <c r="K434" t="s">
        <v>29</v>
      </c>
      <c r="L434" s="2">
        <v>1</v>
      </c>
      <c r="M434" t="s">
        <v>30</v>
      </c>
      <c r="N434" s="2">
        <v>5</v>
      </c>
    </row>
    <row r="435" spans="1:14">
      <c r="A435" t="s">
        <v>465</v>
      </c>
      <c r="B435" s="1" t="str">
        <f>"23-1012"</f>
        <v>23-1012</v>
      </c>
      <c r="C435" s="1">
        <v>16.2</v>
      </c>
      <c r="D435" s="1">
        <v>16.2</v>
      </c>
      <c r="E435" s="1">
        <v>-0.1</v>
      </c>
      <c r="F435" s="1">
        <v>-0.5</v>
      </c>
      <c r="G435" s="1">
        <v>1.1</v>
      </c>
      <c r="H435" s="2">
        <v>50750</v>
      </c>
      <c r="I435" t="s">
        <v>28</v>
      </c>
      <c r="J435" s="2">
        <v>1</v>
      </c>
      <c r="K435" t="s">
        <v>16</v>
      </c>
      <c r="L435" s="2">
        <v>4</v>
      </c>
      <c r="M435" t="s">
        <v>16</v>
      </c>
      <c r="N435" s="2">
        <v>6</v>
      </c>
    </row>
    <row r="436" spans="1:14">
      <c r="A436" t="s">
        <v>466</v>
      </c>
      <c r="B436" s="1" t="str">
        <f>"25-2012"</f>
        <v>25-2012</v>
      </c>
      <c r="C436" s="1">
        <v>124.8</v>
      </c>
      <c r="D436" s="1">
        <v>130.1</v>
      </c>
      <c r="E436" s="1">
        <v>5.3</v>
      </c>
      <c r="F436" s="1">
        <v>4.3</v>
      </c>
      <c r="G436" s="1">
        <v>14.2</v>
      </c>
      <c r="H436" s="2">
        <v>60900</v>
      </c>
      <c r="I436" t="s">
        <v>15</v>
      </c>
      <c r="J436" s="2">
        <v>3</v>
      </c>
      <c r="K436" t="s">
        <v>16</v>
      </c>
      <c r="L436" s="2">
        <v>4</v>
      </c>
      <c r="M436" t="s">
        <v>16</v>
      </c>
      <c r="N436" s="2">
        <v>6</v>
      </c>
    </row>
    <row r="437" spans="1:14">
      <c r="A437" t="s">
        <v>467</v>
      </c>
      <c r="B437" s="1" t="str">
        <f>"13-1075"</f>
        <v>13-1075</v>
      </c>
      <c r="C437" s="1">
        <v>65</v>
      </c>
      <c r="D437" s="1">
        <v>63.3</v>
      </c>
      <c r="E437" s="1">
        <v>-1.7</v>
      </c>
      <c r="F437" s="1">
        <v>-2.6</v>
      </c>
      <c r="G437" s="1">
        <v>5.8</v>
      </c>
      <c r="H437" s="2">
        <v>77010</v>
      </c>
      <c r="I437" t="s">
        <v>15</v>
      </c>
      <c r="J437" s="2">
        <v>3</v>
      </c>
      <c r="K437" t="s">
        <v>32</v>
      </c>
      <c r="L437" s="2">
        <v>2</v>
      </c>
      <c r="M437" t="s">
        <v>16</v>
      </c>
      <c r="N437" s="2">
        <v>6</v>
      </c>
    </row>
    <row r="438" spans="1:14">
      <c r="A438" t="s">
        <v>468</v>
      </c>
      <c r="B438" s="1" t="str">
        <f>"53-7062"</f>
        <v>53-7062</v>
      </c>
      <c r="C438" s="1">
        <v>2806.5</v>
      </c>
      <c r="D438" s="1">
        <v>2974.8</v>
      </c>
      <c r="E438" s="1">
        <v>168.4</v>
      </c>
      <c r="F438" s="1">
        <v>6</v>
      </c>
      <c r="G438" s="1">
        <v>421.9</v>
      </c>
      <c r="H438" s="2">
        <v>31230</v>
      </c>
      <c r="I438" t="s">
        <v>42</v>
      </c>
      <c r="J438" s="2">
        <v>8</v>
      </c>
      <c r="K438" t="s">
        <v>16</v>
      </c>
      <c r="L438" s="2">
        <v>4</v>
      </c>
      <c r="M438" t="s">
        <v>30</v>
      </c>
      <c r="N438" s="2">
        <v>5</v>
      </c>
    </row>
    <row r="439" spans="1:14">
      <c r="A439" t="s">
        <v>469</v>
      </c>
      <c r="B439" s="1" t="str">
        <f>"17-1012"</f>
        <v>17-1012</v>
      </c>
      <c r="C439" s="1">
        <v>19.8</v>
      </c>
      <c r="D439" s="1">
        <v>19.7</v>
      </c>
      <c r="E439" s="1">
        <v>0</v>
      </c>
      <c r="F439" s="1">
        <v>-0.1</v>
      </c>
      <c r="G439" s="1">
        <v>1.5</v>
      </c>
      <c r="H439" s="2">
        <v>67950</v>
      </c>
      <c r="I439" t="s">
        <v>15</v>
      </c>
      <c r="J439" s="2">
        <v>3</v>
      </c>
      <c r="K439" t="s">
        <v>16</v>
      </c>
      <c r="L439" s="2">
        <v>4</v>
      </c>
      <c r="M439" t="s">
        <v>59</v>
      </c>
      <c r="N439" s="2">
        <v>1</v>
      </c>
    </row>
    <row r="440" spans="1:14">
      <c r="A440" t="s">
        <v>470</v>
      </c>
      <c r="B440" s="1" t="str">
        <f>"37-3011"</f>
        <v>37-3011</v>
      </c>
      <c r="C440" s="1">
        <v>1191.6</v>
      </c>
      <c r="D440" s="1">
        <v>1248.5</v>
      </c>
      <c r="E440" s="1">
        <v>56.9</v>
      </c>
      <c r="F440" s="1">
        <v>4.8</v>
      </c>
      <c r="G440" s="1">
        <v>164.5</v>
      </c>
      <c r="H440" s="2">
        <v>34430</v>
      </c>
      <c r="I440" t="s">
        <v>42</v>
      </c>
      <c r="J440" s="2">
        <v>8</v>
      </c>
      <c r="K440" t="s">
        <v>16</v>
      </c>
      <c r="L440" s="2">
        <v>4</v>
      </c>
      <c r="M440" t="s">
        <v>30</v>
      </c>
      <c r="N440" s="2">
        <v>5</v>
      </c>
    </row>
    <row r="441" spans="1:14">
      <c r="A441" t="s">
        <v>471</v>
      </c>
      <c r="B441" s="1" t="str">
        <f>"51-4034"</f>
        <v>51-4034</v>
      </c>
      <c r="C441" s="1">
        <v>20</v>
      </c>
      <c r="D441" s="1">
        <v>18.2</v>
      </c>
      <c r="E441" s="1">
        <v>-1.8</v>
      </c>
      <c r="F441" s="1">
        <v>-9.1</v>
      </c>
      <c r="G441" s="1">
        <v>2.4</v>
      </c>
      <c r="H441" s="2">
        <v>44240</v>
      </c>
      <c r="I441" t="s">
        <v>25</v>
      </c>
      <c r="J441" s="2">
        <v>7</v>
      </c>
      <c r="K441" t="s">
        <v>16</v>
      </c>
      <c r="L441" s="2">
        <v>4</v>
      </c>
      <c r="M441" t="s">
        <v>26</v>
      </c>
      <c r="N441" s="2">
        <v>4</v>
      </c>
    </row>
    <row r="442" spans="1:14">
      <c r="A442" t="s">
        <v>472</v>
      </c>
      <c r="B442" s="1" t="str">
        <f>"51-6011"</f>
        <v>51-6011</v>
      </c>
      <c r="C442" s="1">
        <v>164</v>
      </c>
      <c r="D442" s="1">
        <v>183.5</v>
      </c>
      <c r="E442" s="1">
        <v>19.5</v>
      </c>
      <c r="F442" s="1">
        <v>11.9</v>
      </c>
      <c r="G442" s="1">
        <v>26.6</v>
      </c>
      <c r="H442" s="2">
        <v>28350</v>
      </c>
      <c r="I442" t="s">
        <v>42</v>
      </c>
      <c r="J442" s="2">
        <v>8</v>
      </c>
      <c r="K442" t="s">
        <v>16</v>
      </c>
      <c r="L442" s="2">
        <v>4</v>
      </c>
      <c r="M442" t="s">
        <v>30</v>
      </c>
      <c r="N442" s="2">
        <v>5</v>
      </c>
    </row>
    <row r="443" spans="1:14">
      <c r="A443" t="s">
        <v>473</v>
      </c>
      <c r="B443" s="1" t="str">
        <f>"25-1112"</f>
        <v>25-1112</v>
      </c>
      <c r="C443" s="1">
        <v>19.1</v>
      </c>
      <c r="D443" s="1">
        <v>20.8</v>
      </c>
      <c r="E443" s="1">
        <v>1.7</v>
      </c>
      <c r="F443" s="1">
        <v>8.9</v>
      </c>
      <c r="G443" s="1">
        <v>1.8</v>
      </c>
      <c r="H443" s="2">
        <v>123470</v>
      </c>
      <c r="I443" t="s">
        <v>28</v>
      </c>
      <c r="J443" s="2">
        <v>1</v>
      </c>
      <c r="K443" t="s">
        <v>32</v>
      </c>
      <c r="L443" s="2">
        <v>2</v>
      </c>
      <c r="M443" t="s">
        <v>16</v>
      </c>
      <c r="N443" s="2">
        <v>6</v>
      </c>
    </row>
    <row r="444" spans="1:14">
      <c r="A444" t="s">
        <v>474</v>
      </c>
      <c r="B444" s="1" t="str">
        <f>"23-1011"</f>
        <v>23-1011</v>
      </c>
      <c r="C444" s="1">
        <v>833.1</v>
      </c>
      <c r="D444" s="1">
        <v>913.3</v>
      </c>
      <c r="E444" s="1">
        <v>80.2</v>
      </c>
      <c r="F444" s="1">
        <v>9.6</v>
      </c>
      <c r="G444" s="1">
        <v>48.7</v>
      </c>
      <c r="H444" s="2">
        <v>127990</v>
      </c>
      <c r="I444" t="s">
        <v>28</v>
      </c>
      <c r="J444" s="2">
        <v>1</v>
      </c>
      <c r="K444" t="s">
        <v>16</v>
      </c>
      <c r="L444" s="2">
        <v>4</v>
      </c>
      <c r="M444" t="s">
        <v>16</v>
      </c>
      <c r="N444" s="2">
        <v>6</v>
      </c>
    </row>
    <row r="445" spans="1:14">
      <c r="A445" t="s">
        <v>475</v>
      </c>
      <c r="B445" s="1" t="str">
        <f>"51-4192"</f>
        <v>51-4192</v>
      </c>
      <c r="C445" s="1">
        <v>7.1</v>
      </c>
      <c r="D445" s="1">
        <v>6.4</v>
      </c>
      <c r="E445" s="1">
        <v>-0.7</v>
      </c>
      <c r="F445" s="1">
        <v>-10</v>
      </c>
      <c r="G445" s="1">
        <v>0.6</v>
      </c>
      <c r="H445" s="2">
        <v>51690</v>
      </c>
      <c r="I445" t="s">
        <v>25</v>
      </c>
      <c r="J445" s="2">
        <v>7</v>
      </c>
      <c r="K445" t="s">
        <v>16</v>
      </c>
      <c r="L445" s="2">
        <v>4</v>
      </c>
      <c r="M445" t="s">
        <v>26</v>
      </c>
      <c r="N445" s="2">
        <v>4</v>
      </c>
    </row>
    <row r="446" spans="1:14">
      <c r="A446" t="s">
        <v>476</v>
      </c>
      <c r="B446" s="1" t="str">
        <f>"43-6012"</f>
        <v>43-6012</v>
      </c>
      <c r="C446" s="1">
        <v>157.8</v>
      </c>
      <c r="D446" s="1">
        <v>127.5</v>
      </c>
      <c r="E446" s="1">
        <v>-30.4</v>
      </c>
      <c r="F446" s="1">
        <v>-19.2</v>
      </c>
      <c r="G446" s="1">
        <v>14.6</v>
      </c>
      <c r="H446" s="2">
        <v>47710</v>
      </c>
      <c r="I446" t="s">
        <v>25</v>
      </c>
      <c r="J446" s="2">
        <v>7</v>
      </c>
      <c r="K446" t="s">
        <v>16</v>
      </c>
      <c r="L446" s="2">
        <v>4</v>
      </c>
      <c r="M446" t="s">
        <v>26</v>
      </c>
      <c r="N446" s="2">
        <v>4</v>
      </c>
    </row>
    <row r="447" spans="1:14">
      <c r="A447" t="s">
        <v>477</v>
      </c>
      <c r="B447" s="1" t="str">
        <f>"23-2099"</f>
        <v>23-2099</v>
      </c>
      <c r="C447" s="1">
        <v>52.7</v>
      </c>
      <c r="D447" s="1">
        <v>52.5</v>
      </c>
      <c r="E447" s="1">
        <v>-0.2</v>
      </c>
      <c r="F447" s="1">
        <v>-0.4</v>
      </c>
      <c r="G447" s="1">
        <v>5.9</v>
      </c>
      <c r="H447" s="2">
        <v>59790</v>
      </c>
      <c r="I447" t="s">
        <v>37</v>
      </c>
      <c r="J447" s="2">
        <v>4</v>
      </c>
      <c r="K447" t="s">
        <v>16</v>
      </c>
      <c r="L447" s="2">
        <v>4</v>
      </c>
      <c r="M447" t="s">
        <v>16</v>
      </c>
      <c r="N447" s="2">
        <v>6</v>
      </c>
    </row>
    <row r="448" spans="1:14">
      <c r="A448" t="s">
        <v>478</v>
      </c>
      <c r="B448" s="1" t="str">
        <f>"11-1031"</f>
        <v>11-1031</v>
      </c>
      <c r="C448" s="1">
        <v>45.5</v>
      </c>
      <c r="D448" s="1">
        <v>47</v>
      </c>
      <c r="E448" s="1">
        <v>1.5</v>
      </c>
      <c r="F448" s="1">
        <v>3.3</v>
      </c>
      <c r="G448" s="1">
        <v>3.8</v>
      </c>
      <c r="H448" s="2">
        <v>37270</v>
      </c>
      <c r="I448" t="s">
        <v>15</v>
      </c>
      <c r="J448" s="2">
        <v>3</v>
      </c>
      <c r="K448" t="s">
        <v>32</v>
      </c>
      <c r="L448" s="2">
        <v>2</v>
      </c>
      <c r="M448" t="s">
        <v>16</v>
      </c>
      <c r="N448" s="2">
        <v>6</v>
      </c>
    </row>
    <row r="449" spans="1:14">
      <c r="A449" t="s">
        <v>479</v>
      </c>
      <c r="B449" s="1" t="str">
        <f>"25-4022"</f>
        <v>25-4022</v>
      </c>
      <c r="C449" s="1">
        <v>138.4</v>
      </c>
      <c r="D449" s="1">
        <v>146.4</v>
      </c>
      <c r="E449" s="1">
        <v>8</v>
      </c>
      <c r="F449" s="1">
        <v>5.8</v>
      </c>
      <c r="G449" s="1">
        <v>14.9</v>
      </c>
      <c r="H449" s="2">
        <v>61190</v>
      </c>
      <c r="I449" t="s">
        <v>23</v>
      </c>
      <c r="J449" s="2">
        <v>2</v>
      </c>
      <c r="K449" t="s">
        <v>16</v>
      </c>
      <c r="L449" s="2">
        <v>4</v>
      </c>
      <c r="M449" t="s">
        <v>16</v>
      </c>
      <c r="N449" s="2">
        <v>6</v>
      </c>
    </row>
    <row r="450" spans="1:14">
      <c r="A450" t="s">
        <v>480</v>
      </c>
      <c r="B450" s="1" t="str">
        <f>"43-4121"</f>
        <v>43-4121</v>
      </c>
      <c r="C450" s="1">
        <v>82.5</v>
      </c>
      <c r="D450" s="1">
        <v>79.5</v>
      </c>
      <c r="E450" s="1">
        <v>-3.1</v>
      </c>
      <c r="F450" s="1">
        <v>-3.7</v>
      </c>
      <c r="G450" s="1">
        <v>13.3</v>
      </c>
      <c r="H450" s="2">
        <v>29450</v>
      </c>
      <c r="I450" t="s">
        <v>25</v>
      </c>
      <c r="J450" s="2">
        <v>7</v>
      </c>
      <c r="K450" t="s">
        <v>16</v>
      </c>
      <c r="L450" s="2">
        <v>4</v>
      </c>
      <c r="M450" t="s">
        <v>30</v>
      </c>
      <c r="N450" s="2">
        <v>5</v>
      </c>
    </row>
    <row r="451" spans="1:14">
      <c r="A451" t="s">
        <v>481</v>
      </c>
      <c r="B451" s="1" t="str">
        <f>"25-1082"</f>
        <v>25-1082</v>
      </c>
      <c r="C451" s="1">
        <v>5.5</v>
      </c>
      <c r="D451" s="1">
        <v>5.9</v>
      </c>
      <c r="E451" s="1">
        <v>0.4</v>
      </c>
      <c r="F451" s="1">
        <v>7.6</v>
      </c>
      <c r="G451" s="1">
        <v>0.5</v>
      </c>
      <c r="H451" s="2">
        <v>77100</v>
      </c>
      <c r="I451" t="s">
        <v>28</v>
      </c>
      <c r="J451" s="2">
        <v>1</v>
      </c>
      <c r="K451" t="s">
        <v>16</v>
      </c>
      <c r="L451" s="2">
        <v>4</v>
      </c>
      <c r="M451" t="s">
        <v>16</v>
      </c>
      <c r="N451" s="2">
        <v>6</v>
      </c>
    </row>
    <row r="452" spans="1:14">
      <c r="A452" t="s">
        <v>482</v>
      </c>
      <c r="B452" s="1" t="str">
        <f>"25-4031"</f>
        <v>25-4031</v>
      </c>
      <c r="C452" s="1">
        <v>78.2</v>
      </c>
      <c r="D452" s="1">
        <v>74.9</v>
      </c>
      <c r="E452" s="1">
        <v>-3.3</v>
      </c>
      <c r="F452" s="1">
        <v>-4.2</v>
      </c>
      <c r="G452" s="1">
        <v>10.7</v>
      </c>
      <c r="H452" s="2">
        <v>36970</v>
      </c>
      <c r="I452" t="s">
        <v>50</v>
      </c>
      <c r="J452" s="2">
        <v>5</v>
      </c>
      <c r="K452" t="s">
        <v>16</v>
      </c>
      <c r="L452" s="2">
        <v>4</v>
      </c>
      <c r="M452" t="s">
        <v>16</v>
      </c>
      <c r="N452" s="2">
        <v>6</v>
      </c>
    </row>
    <row r="453" spans="1:14">
      <c r="A453" t="s">
        <v>483</v>
      </c>
      <c r="B453" s="1" t="str">
        <f>"29-2061"</f>
        <v>29-2061</v>
      </c>
      <c r="C453" s="1">
        <v>657.2</v>
      </c>
      <c r="D453" s="1">
        <v>698.5</v>
      </c>
      <c r="E453" s="1">
        <v>41.3</v>
      </c>
      <c r="F453" s="1">
        <v>6.3</v>
      </c>
      <c r="G453" s="1">
        <v>58.8</v>
      </c>
      <c r="H453" s="2">
        <v>48070</v>
      </c>
      <c r="I453" t="s">
        <v>50</v>
      </c>
      <c r="J453" s="2">
        <v>5</v>
      </c>
      <c r="K453" t="s">
        <v>16</v>
      </c>
      <c r="L453" s="2">
        <v>4</v>
      </c>
      <c r="M453" t="s">
        <v>16</v>
      </c>
      <c r="N453" s="2">
        <v>6</v>
      </c>
    </row>
    <row r="454" spans="1:14">
      <c r="A454" t="s">
        <v>484</v>
      </c>
      <c r="B454" s="1" t="str">
        <f>"19-1099"</f>
        <v>19-1099</v>
      </c>
      <c r="C454" s="1">
        <v>7.5</v>
      </c>
      <c r="D454" s="1">
        <v>8</v>
      </c>
      <c r="E454" s="1">
        <v>0.5</v>
      </c>
      <c r="F454" s="1">
        <v>6.6</v>
      </c>
      <c r="G454" s="1">
        <v>0.5</v>
      </c>
      <c r="H454" s="2">
        <v>81500</v>
      </c>
      <c r="I454" t="s">
        <v>15</v>
      </c>
      <c r="J454" s="2">
        <v>3</v>
      </c>
      <c r="K454" t="s">
        <v>16</v>
      </c>
      <c r="L454" s="2">
        <v>4</v>
      </c>
      <c r="M454" t="s">
        <v>16</v>
      </c>
      <c r="N454" s="2">
        <v>6</v>
      </c>
    </row>
    <row r="455" spans="1:14">
      <c r="A455" t="s">
        <v>485</v>
      </c>
      <c r="B455" s="1" t="str">
        <f>"19-4099"</f>
        <v>19-4099</v>
      </c>
      <c r="C455" s="1">
        <v>72.7</v>
      </c>
      <c r="D455" s="1">
        <v>77.5</v>
      </c>
      <c r="E455" s="1">
        <v>4.8</v>
      </c>
      <c r="F455" s="1">
        <v>6.6</v>
      </c>
      <c r="G455" s="1">
        <v>9.7</v>
      </c>
      <c r="H455" s="2">
        <v>49030</v>
      </c>
      <c r="I455" t="s">
        <v>37</v>
      </c>
      <c r="J455" s="2">
        <v>4</v>
      </c>
      <c r="K455" t="s">
        <v>16</v>
      </c>
      <c r="L455" s="2">
        <v>4</v>
      </c>
      <c r="M455" t="s">
        <v>16</v>
      </c>
      <c r="N455" s="2">
        <v>6</v>
      </c>
    </row>
    <row r="456" spans="1:14">
      <c r="A456" t="s">
        <v>486</v>
      </c>
      <c r="B456" s="1" t="str">
        <f>"33-9092"</f>
        <v>33-9092</v>
      </c>
      <c r="C456" s="1">
        <v>120.8</v>
      </c>
      <c r="D456" s="1">
        <v>140.7</v>
      </c>
      <c r="E456" s="1">
        <v>19.9</v>
      </c>
      <c r="F456" s="1">
        <v>16.4</v>
      </c>
      <c r="G456" s="1">
        <v>36.2</v>
      </c>
      <c r="H456" s="2">
        <v>25630</v>
      </c>
      <c r="I456" t="s">
        <v>42</v>
      </c>
      <c r="J456" s="2">
        <v>8</v>
      </c>
      <c r="K456" t="s">
        <v>16</v>
      </c>
      <c r="L456" s="2">
        <v>4</v>
      </c>
      <c r="M456" t="s">
        <v>30</v>
      </c>
      <c r="N456" s="2">
        <v>5</v>
      </c>
    </row>
    <row r="457" spans="1:14">
      <c r="A457" t="s">
        <v>487</v>
      </c>
      <c r="B457" s="1" t="str">
        <f>"53-3033"</f>
        <v>53-3033</v>
      </c>
      <c r="C457" s="1">
        <v>1109.7</v>
      </c>
      <c r="D457" s="1">
        <v>1220.4</v>
      </c>
      <c r="E457" s="1">
        <v>110.7</v>
      </c>
      <c r="F457" s="1">
        <v>10</v>
      </c>
      <c r="G457" s="1">
        <v>147.6</v>
      </c>
      <c r="H457" s="2">
        <v>38280</v>
      </c>
      <c r="I457" t="s">
        <v>25</v>
      </c>
      <c r="J457" s="2">
        <v>7</v>
      </c>
      <c r="K457" t="s">
        <v>16</v>
      </c>
      <c r="L457" s="2">
        <v>4</v>
      </c>
      <c r="M457" t="s">
        <v>30</v>
      </c>
      <c r="N457" s="2">
        <v>5</v>
      </c>
    </row>
    <row r="458" spans="1:14">
      <c r="A458" t="s">
        <v>488</v>
      </c>
      <c r="B458" s="1" t="str">
        <f>"27-4015"</f>
        <v>27-4015</v>
      </c>
      <c r="C458" s="1">
        <v>5.7</v>
      </c>
      <c r="D458" s="1">
        <v>6.5</v>
      </c>
      <c r="E458" s="1">
        <v>0.8</v>
      </c>
      <c r="F458" s="1">
        <v>14.7</v>
      </c>
      <c r="G458" s="1">
        <v>0.7</v>
      </c>
      <c r="H458" s="2">
        <v>51470</v>
      </c>
      <c r="I458" t="s">
        <v>50</v>
      </c>
      <c r="J458" s="2">
        <v>5</v>
      </c>
      <c r="K458" t="s">
        <v>16</v>
      </c>
      <c r="L458" s="2">
        <v>4</v>
      </c>
      <c r="M458" t="s">
        <v>30</v>
      </c>
      <c r="N458" s="2">
        <v>5</v>
      </c>
    </row>
    <row r="459" spans="1:14">
      <c r="A459" t="s">
        <v>489</v>
      </c>
      <c r="B459" s="1" t="str">
        <f>"47-5044"</f>
        <v>47-5044</v>
      </c>
      <c r="C459" s="1">
        <v>4.5</v>
      </c>
      <c r="D459" s="1">
        <v>3.7</v>
      </c>
      <c r="E459" s="1">
        <v>-0.8</v>
      </c>
      <c r="F459" s="1">
        <v>-17.8</v>
      </c>
      <c r="G459" s="1">
        <v>0.4</v>
      </c>
      <c r="H459" s="2">
        <v>57900</v>
      </c>
      <c r="I459" t="s">
        <v>42</v>
      </c>
      <c r="J459" s="2">
        <v>8</v>
      </c>
      <c r="K459" t="s">
        <v>16</v>
      </c>
      <c r="L459" s="2">
        <v>4</v>
      </c>
      <c r="M459" t="s">
        <v>30</v>
      </c>
      <c r="N459" s="2">
        <v>5</v>
      </c>
    </row>
    <row r="460" spans="1:14">
      <c r="A460" t="s">
        <v>490</v>
      </c>
      <c r="B460" s="1" t="str">
        <f>"43-4131"</f>
        <v>43-4131</v>
      </c>
      <c r="C460" s="1">
        <v>247</v>
      </c>
      <c r="D460" s="1">
        <v>245.4</v>
      </c>
      <c r="E460" s="1">
        <v>-1.7</v>
      </c>
      <c r="F460" s="1">
        <v>-0.7</v>
      </c>
      <c r="G460" s="1">
        <v>23.3</v>
      </c>
      <c r="H460" s="2">
        <v>45940</v>
      </c>
      <c r="I460" t="s">
        <v>25</v>
      </c>
      <c r="J460" s="2">
        <v>7</v>
      </c>
      <c r="K460" t="s">
        <v>16</v>
      </c>
      <c r="L460" s="2">
        <v>4</v>
      </c>
      <c r="M460" t="s">
        <v>30</v>
      </c>
      <c r="N460" s="2">
        <v>5</v>
      </c>
    </row>
    <row r="461" spans="1:14">
      <c r="A461" t="s">
        <v>491</v>
      </c>
      <c r="B461" s="1" t="str">
        <f>"13-2072"</f>
        <v>13-2072</v>
      </c>
      <c r="C461" s="1">
        <v>354.6</v>
      </c>
      <c r="D461" s="1">
        <v>367.1</v>
      </c>
      <c r="E461" s="1">
        <v>12.6</v>
      </c>
      <c r="F461" s="1">
        <v>3.5</v>
      </c>
      <c r="G461" s="1">
        <v>29.4</v>
      </c>
      <c r="H461" s="2">
        <v>63380</v>
      </c>
      <c r="I461" t="s">
        <v>15</v>
      </c>
      <c r="J461" s="2">
        <v>3</v>
      </c>
      <c r="K461" t="s">
        <v>32</v>
      </c>
      <c r="L461" s="2">
        <v>2</v>
      </c>
      <c r="M461" t="s">
        <v>26</v>
      </c>
      <c r="N461" s="2">
        <v>4</v>
      </c>
    </row>
    <row r="462" spans="1:14">
      <c r="A462" t="s">
        <v>492</v>
      </c>
      <c r="B462" s="1" t="str">
        <f>"39-3093"</f>
        <v>39-3093</v>
      </c>
      <c r="C462" s="1">
        <v>10.5</v>
      </c>
      <c r="D462" s="1">
        <v>12</v>
      </c>
      <c r="E462" s="1">
        <v>1.4</v>
      </c>
      <c r="F462" s="1">
        <v>13.5</v>
      </c>
      <c r="G462" s="1">
        <v>3.1</v>
      </c>
      <c r="H462" s="2">
        <v>28570</v>
      </c>
      <c r="I462" t="s">
        <v>25</v>
      </c>
      <c r="J462" s="2">
        <v>7</v>
      </c>
      <c r="K462" t="s">
        <v>16</v>
      </c>
      <c r="L462" s="2">
        <v>4</v>
      </c>
      <c r="M462" t="s">
        <v>30</v>
      </c>
      <c r="N462" s="2">
        <v>5</v>
      </c>
    </row>
    <row r="463" spans="1:14">
      <c r="A463" t="s">
        <v>493</v>
      </c>
      <c r="B463" s="1" t="str">
        <f>"49-9094"</f>
        <v>49-9094</v>
      </c>
      <c r="C463" s="1">
        <v>20.3</v>
      </c>
      <c r="D463" s="1">
        <v>17.3</v>
      </c>
      <c r="E463" s="1">
        <v>-3</v>
      </c>
      <c r="F463" s="1">
        <v>-14.8</v>
      </c>
      <c r="G463" s="1">
        <v>1.6</v>
      </c>
      <c r="H463" s="2">
        <v>46910</v>
      </c>
      <c r="I463" t="s">
        <v>25</v>
      </c>
      <c r="J463" s="2">
        <v>7</v>
      </c>
      <c r="K463" t="s">
        <v>16</v>
      </c>
      <c r="L463" s="2">
        <v>4</v>
      </c>
      <c r="M463" t="s">
        <v>20</v>
      </c>
      <c r="N463" s="2">
        <v>3</v>
      </c>
    </row>
    <row r="464" spans="1:14">
      <c r="A464" t="s">
        <v>494</v>
      </c>
      <c r="B464" s="1" t="str">
        <f>"53-4011"</f>
        <v>53-4011</v>
      </c>
      <c r="C464" s="1">
        <v>26.6</v>
      </c>
      <c r="D464" s="1">
        <v>27.9</v>
      </c>
      <c r="E464" s="1">
        <v>1.3</v>
      </c>
      <c r="F464" s="1">
        <v>4.7</v>
      </c>
      <c r="G464" s="1">
        <v>2.6</v>
      </c>
      <c r="H464" s="2">
        <v>79740</v>
      </c>
      <c r="I464" t="s">
        <v>25</v>
      </c>
      <c r="J464" s="2">
        <v>7</v>
      </c>
      <c r="K464" t="s">
        <v>32</v>
      </c>
      <c r="L464" s="2">
        <v>2</v>
      </c>
      <c r="M464" t="s">
        <v>26</v>
      </c>
      <c r="N464" s="2">
        <v>4</v>
      </c>
    </row>
    <row r="465" spans="1:14">
      <c r="A465" t="s">
        <v>495</v>
      </c>
      <c r="B465" s="1" t="str">
        <f>"11-9081"</f>
        <v>11-9081</v>
      </c>
      <c r="C465" s="1">
        <v>51.2</v>
      </c>
      <c r="D465" s="1">
        <v>60.4</v>
      </c>
      <c r="E465" s="1">
        <v>9.2</v>
      </c>
      <c r="F465" s="1">
        <v>18</v>
      </c>
      <c r="G465" s="1">
        <v>7.1</v>
      </c>
      <c r="H465" s="2">
        <v>59430</v>
      </c>
      <c r="I465" t="s">
        <v>25</v>
      </c>
      <c r="J465" s="2">
        <v>7</v>
      </c>
      <c r="K465" t="s">
        <v>32</v>
      </c>
      <c r="L465" s="2">
        <v>2</v>
      </c>
      <c r="M465" t="s">
        <v>16</v>
      </c>
      <c r="N465" s="2">
        <v>6</v>
      </c>
    </row>
    <row r="466" spans="1:14">
      <c r="A466" t="s">
        <v>496</v>
      </c>
      <c r="B466" s="1" t="str">
        <f>"45-4023"</f>
        <v>45-4023</v>
      </c>
      <c r="C466" s="1">
        <v>4.5</v>
      </c>
      <c r="D466" s="1">
        <v>4.6</v>
      </c>
      <c r="E466" s="1">
        <v>0.2</v>
      </c>
      <c r="F466" s="1">
        <v>3.5</v>
      </c>
      <c r="G466" s="1">
        <v>0.7</v>
      </c>
      <c r="H466" s="2">
        <v>37820</v>
      </c>
      <c r="I466" t="s">
        <v>25</v>
      </c>
      <c r="J466" s="2">
        <v>7</v>
      </c>
      <c r="K466" t="s">
        <v>16</v>
      </c>
      <c r="L466" s="2">
        <v>4</v>
      </c>
      <c r="M466" t="s">
        <v>26</v>
      </c>
      <c r="N466" s="2">
        <v>4</v>
      </c>
    </row>
    <row r="467" spans="1:14">
      <c r="A467" t="s">
        <v>497</v>
      </c>
      <c r="B467" s="1" t="str">
        <f>"45-4022"</f>
        <v>45-4022</v>
      </c>
      <c r="C467" s="1">
        <v>34.3</v>
      </c>
      <c r="D467" s="1">
        <v>33.2</v>
      </c>
      <c r="E467" s="1">
        <v>-1.1</v>
      </c>
      <c r="F467" s="1">
        <v>-3.3</v>
      </c>
      <c r="G467" s="1">
        <v>5.2</v>
      </c>
      <c r="H467" s="2">
        <v>46400</v>
      </c>
      <c r="I467" t="s">
        <v>25</v>
      </c>
      <c r="J467" s="2">
        <v>7</v>
      </c>
      <c r="K467" t="s">
        <v>16</v>
      </c>
      <c r="L467" s="2">
        <v>4</v>
      </c>
      <c r="M467" t="s">
        <v>26</v>
      </c>
      <c r="N467" s="2">
        <v>4</v>
      </c>
    </row>
    <row r="468" spans="1:14">
      <c r="A468" t="s">
        <v>498</v>
      </c>
      <c r="B468" s="1" t="str">
        <f>"45-4029"</f>
        <v>45-4029</v>
      </c>
      <c r="C468" s="1">
        <v>4.2</v>
      </c>
      <c r="D468" s="1">
        <v>3.8</v>
      </c>
      <c r="E468" s="1">
        <v>-0.3</v>
      </c>
      <c r="F468" s="1">
        <v>-7.9</v>
      </c>
      <c r="G468" s="1">
        <v>0.6</v>
      </c>
      <c r="H468" s="2">
        <v>46090</v>
      </c>
      <c r="I468" t="s">
        <v>25</v>
      </c>
      <c r="J468" s="2">
        <v>7</v>
      </c>
      <c r="K468" t="s">
        <v>16</v>
      </c>
      <c r="L468" s="2">
        <v>4</v>
      </c>
      <c r="M468" t="s">
        <v>26</v>
      </c>
      <c r="N468" s="2">
        <v>4</v>
      </c>
    </row>
    <row r="469" spans="1:14">
      <c r="A469" t="s">
        <v>499</v>
      </c>
      <c r="B469" s="1" t="str">
        <f>"13-1081"</f>
        <v>13-1081</v>
      </c>
      <c r="C469" s="1">
        <v>195</v>
      </c>
      <c r="D469" s="1">
        <v>249.1</v>
      </c>
      <c r="E469" s="1">
        <v>54.1</v>
      </c>
      <c r="F469" s="1">
        <v>27.7</v>
      </c>
      <c r="G469" s="1">
        <v>24.8</v>
      </c>
      <c r="H469" s="2">
        <v>77030</v>
      </c>
      <c r="I469" t="s">
        <v>15</v>
      </c>
      <c r="J469" s="2">
        <v>3</v>
      </c>
      <c r="K469" t="s">
        <v>16</v>
      </c>
      <c r="L469" s="2">
        <v>4</v>
      </c>
      <c r="M469" t="s">
        <v>16</v>
      </c>
      <c r="N469" s="2">
        <v>6</v>
      </c>
    </row>
    <row r="470" spans="1:14">
      <c r="A470" t="s">
        <v>500</v>
      </c>
      <c r="B470" s="1" t="str">
        <f>"53-7063"</f>
        <v>53-7063</v>
      </c>
      <c r="C470" s="1">
        <v>61.2</v>
      </c>
      <c r="D470" s="1">
        <v>65</v>
      </c>
      <c r="E470" s="1">
        <v>3.9</v>
      </c>
      <c r="F470" s="1">
        <v>6.3</v>
      </c>
      <c r="G470" s="1">
        <v>10.8</v>
      </c>
      <c r="H470" s="2">
        <v>37010</v>
      </c>
      <c r="I470" t="s">
        <v>42</v>
      </c>
      <c r="J470" s="2">
        <v>8</v>
      </c>
      <c r="K470" t="s">
        <v>16</v>
      </c>
      <c r="L470" s="2">
        <v>4</v>
      </c>
      <c r="M470" t="s">
        <v>30</v>
      </c>
      <c r="N470" s="2">
        <v>5</v>
      </c>
    </row>
    <row r="471" spans="1:14">
      <c r="A471" t="s">
        <v>501</v>
      </c>
      <c r="B471" s="1" t="str">
        <f>"51-4041"</f>
        <v>51-4041</v>
      </c>
      <c r="C471" s="1">
        <v>342.6</v>
      </c>
      <c r="D471" s="1">
        <v>350.7</v>
      </c>
      <c r="E471" s="1">
        <v>8.1</v>
      </c>
      <c r="F471" s="1">
        <v>2.4</v>
      </c>
      <c r="G471" s="1">
        <v>37.5</v>
      </c>
      <c r="H471" s="2">
        <v>47730</v>
      </c>
      <c r="I471" t="s">
        <v>25</v>
      </c>
      <c r="J471" s="2">
        <v>7</v>
      </c>
      <c r="K471" t="s">
        <v>16</v>
      </c>
      <c r="L471" s="2">
        <v>4</v>
      </c>
      <c r="M471" t="s">
        <v>20</v>
      </c>
      <c r="N471" s="2">
        <v>3</v>
      </c>
    </row>
    <row r="472" spans="1:14">
      <c r="A472" t="s">
        <v>502</v>
      </c>
      <c r="B472" s="1" t="str">
        <f>"29-2035"</f>
        <v>29-2035</v>
      </c>
      <c r="C472" s="1">
        <v>41.2</v>
      </c>
      <c r="D472" s="1">
        <v>44.1</v>
      </c>
      <c r="E472" s="1">
        <v>3</v>
      </c>
      <c r="F472" s="1">
        <v>7.2</v>
      </c>
      <c r="G472" s="1">
        <v>2.8</v>
      </c>
      <c r="H472" s="2">
        <v>77360</v>
      </c>
      <c r="I472" t="s">
        <v>37</v>
      </c>
      <c r="J472" s="2">
        <v>4</v>
      </c>
      <c r="K472" t="s">
        <v>32</v>
      </c>
      <c r="L472" s="2">
        <v>2</v>
      </c>
      <c r="M472" t="s">
        <v>16</v>
      </c>
      <c r="N472" s="2">
        <v>6</v>
      </c>
    </row>
    <row r="473" spans="1:14">
      <c r="A473" t="s">
        <v>503</v>
      </c>
      <c r="B473" s="1" t="str">
        <f>"37-2012"</f>
        <v>37-2012</v>
      </c>
      <c r="C473" s="1">
        <v>1237.4</v>
      </c>
      <c r="D473" s="1">
        <v>1353.8</v>
      </c>
      <c r="E473" s="1">
        <v>116.4</v>
      </c>
      <c r="F473" s="1">
        <v>9.4</v>
      </c>
      <c r="G473" s="1">
        <v>193.5</v>
      </c>
      <c r="H473" s="2">
        <v>28780</v>
      </c>
      <c r="I473" t="s">
        <v>42</v>
      </c>
      <c r="J473" s="2">
        <v>8</v>
      </c>
      <c r="K473" t="s">
        <v>16</v>
      </c>
      <c r="L473" s="2">
        <v>4</v>
      </c>
      <c r="M473" t="s">
        <v>30</v>
      </c>
      <c r="N473" s="2">
        <v>5</v>
      </c>
    </row>
    <row r="474" spans="1:14">
      <c r="A474" t="s">
        <v>504</v>
      </c>
      <c r="B474" s="1" t="str">
        <f>"43-9051"</f>
        <v>43-9051</v>
      </c>
      <c r="C474" s="1">
        <v>74.2</v>
      </c>
      <c r="D474" s="1">
        <v>69.2</v>
      </c>
      <c r="E474" s="1">
        <v>-5</v>
      </c>
      <c r="F474" s="1">
        <v>-6.8</v>
      </c>
      <c r="G474" s="1">
        <v>8.9</v>
      </c>
      <c r="H474" s="2">
        <v>32550</v>
      </c>
      <c r="I474" t="s">
        <v>25</v>
      </c>
      <c r="J474" s="2">
        <v>7</v>
      </c>
      <c r="K474" t="s">
        <v>16</v>
      </c>
      <c r="L474" s="2">
        <v>4</v>
      </c>
      <c r="M474" t="s">
        <v>30</v>
      </c>
      <c r="N474" s="2">
        <v>5</v>
      </c>
    </row>
    <row r="475" spans="1:14">
      <c r="A475" t="s">
        <v>505</v>
      </c>
      <c r="B475" s="1" t="str">
        <f>"49-9071"</f>
        <v>49-9071</v>
      </c>
      <c r="C475" s="1">
        <v>1539.1</v>
      </c>
      <c r="D475" s="1">
        <v>1615.3</v>
      </c>
      <c r="E475" s="1">
        <v>76.3</v>
      </c>
      <c r="F475" s="1">
        <v>5</v>
      </c>
      <c r="G475" s="1">
        <v>160.1</v>
      </c>
      <c r="H475" s="2">
        <v>43180</v>
      </c>
      <c r="I475" t="s">
        <v>25</v>
      </c>
      <c r="J475" s="2">
        <v>7</v>
      </c>
      <c r="K475" t="s">
        <v>16</v>
      </c>
      <c r="L475" s="2">
        <v>4</v>
      </c>
      <c r="M475" t="s">
        <v>26</v>
      </c>
      <c r="N475" s="2">
        <v>4</v>
      </c>
    </row>
    <row r="476" spans="1:14">
      <c r="A476" t="s">
        <v>506</v>
      </c>
      <c r="B476" s="1" t="str">
        <f>"49-9043"</f>
        <v>49-9043</v>
      </c>
      <c r="C476" s="1">
        <v>58.5</v>
      </c>
      <c r="D476" s="1">
        <v>63</v>
      </c>
      <c r="E476" s="1">
        <v>4.5</v>
      </c>
      <c r="F476" s="1">
        <v>7.8</v>
      </c>
      <c r="G476" s="1">
        <v>6.9</v>
      </c>
      <c r="H476" s="2">
        <v>48900</v>
      </c>
      <c r="I476" t="s">
        <v>25</v>
      </c>
      <c r="J476" s="2">
        <v>7</v>
      </c>
      <c r="K476" t="s">
        <v>16</v>
      </c>
      <c r="L476" s="2">
        <v>4</v>
      </c>
      <c r="M476" t="s">
        <v>20</v>
      </c>
      <c r="N476" s="2">
        <v>3</v>
      </c>
    </row>
    <row r="477" spans="1:14">
      <c r="A477" t="s">
        <v>507</v>
      </c>
      <c r="B477" s="1" t="str">
        <f>"39-5091"</f>
        <v>39-5091</v>
      </c>
      <c r="C477" s="1">
        <v>4.4</v>
      </c>
      <c r="D477" s="1">
        <v>4.7</v>
      </c>
      <c r="E477" s="1">
        <v>0.3</v>
      </c>
      <c r="F477" s="1">
        <v>7</v>
      </c>
      <c r="G477" s="1">
        <v>0.7</v>
      </c>
      <c r="H477" s="2">
        <v>134750</v>
      </c>
      <c r="I477" t="s">
        <v>50</v>
      </c>
      <c r="J477" s="2">
        <v>5</v>
      </c>
      <c r="K477" t="s">
        <v>16</v>
      </c>
      <c r="L477" s="2">
        <v>4</v>
      </c>
      <c r="M477" t="s">
        <v>16</v>
      </c>
      <c r="N477" s="2">
        <v>6</v>
      </c>
    </row>
    <row r="478" spans="1:14">
      <c r="A478" t="s">
        <v>508</v>
      </c>
      <c r="B478" s="1" t="str">
        <f>"13-1111"</f>
        <v>13-1111</v>
      </c>
      <c r="C478" s="1">
        <v>950.6</v>
      </c>
      <c r="D478" s="1">
        <v>1059</v>
      </c>
      <c r="E478" s="1">
        <v>108.4</v>
      </c>
      <c r="F478" s="1">
        <v>11.4</v>
      </c>
      <c r="G478" s="1">
        <v>101.9</v>
      </c>
      <c r="H478" s="2">
        <v>93000</v>
      </c>
      <c r="I478" t="s">
        <v>15</v>
      </c>
      <c r="J478" s="2">
        <v>3</v>
      </c>
      <c r="K478" t="s">
        <v>32</v>
      </c>
      <c r="L478" s="2">
        <v>2</v>
      </c>
      <c r="M478" t="s">
        <v>16</v>
      </c>
      <c r="N478" s="2">
        <v>6</v>
      </c>
    </row>
    <row r="479" spans="1:14">
      <c r="A479" t="s">
        <v>509</v>
      </c>
      <c r="B479" s="1" t="str">
        <f>"11-9199"</f>
        <v>11-9199</v>
      </c>
      <c r="C479" s="1">
        <v>1305.8</v>
      </c>
      <c r="D479" s="1">
        <v>1384.3</v>
      </c>
      <c r="E479" s="1">
        <v>78.4</v>
      </c>
      <c r="F479" s="1">
        <v>6</v>
      </c>
      <c r="G479" s="1">
        <v>113.1</v>
      </c>
      <c r="H479" s="2">
        <v>124650</v>
      </c>
      <c r="I479" t="s">
        <v>15</v>
      </c>
      <c r="J479" s="2">
        <v>3</v>
      </c>
      <c r="K479" t="s">
        <v>32</v>
      </c>
      <c r="L479" s="2">
        <v>2</v>
      </c>
      <c r="M479" t="s">
        <v>16</v>
      </c>
      <c r="N479" s="2">
        <v>6</v>
      </c>
    </row>
    <row r="480" spans="1:14">
      <c r="A480" t="s">
        <v>510</v>
      </c>
      <c r="B480" s="1" t="str">
        <f>"39-5092"</f>
        <v>39-5092</v>
      </c>
      <c r="C480" s="1">
        <v>163.6</v>
      </c>
      <c r="D480" s="1">
        <v>200.3</v>
      </c>
      <c r="E480" s="1">
        <v>36.6</v>
      </c>
      <c r="F480" s="1">
        <v>22.4</v>
      </c>
      <c r="G480" s="1">
        <v>26.6</v>
      </c>
      <c r="H480" s="2">
        <v>29210</v>
      </c>
      <c r="I480" t="s">
        <v>50</v>
      </c>
      <c r="J480" s="2">
        <v>5</v>
      </c>
      <c r="K480" t="s">
        <v>16</v>
      </c>
      <c r="L480" s="2">
        <v>4</v>
      </c>
      <c r="M480" t="s">
        <v>16</v>
      </c>
      <c r="N480" s="2">
        <v>6</v>
      </c>
    </row>
    <row r="481" spans="1:14">
      <c r="A481" t="s">
        <v>511</v>
      </c>
      <c r="B481" s="1" t="str">
        <f>"49-9095"</f>
        <v>49-9095</v>
      </c>
      <c r="C481" s="1">
        <v>3.9</v>
      </c>
      <c r="D481" s="1">
        <v>3.1</v>
      </c>
      <c r="E481" s="1">
        <v>-0.8</v>
      </c>
      <c r="F481" s="1">
        <v>-20.3</v>
      </c>
      <c r="G481" s="1">
        <v>0.3</v>
      </c>
      <c r="H481" s="2">
        <v>36360</v>
      </c>
      <c r="I481" t="s">
        <v>25</v>
      </c>
      <c r="J481" s="2">
        <v>7</v>
      </c>
      <c r="K481" t="s">
        <v>16</v>
      </c>
      <c r="L481" s="2">
        <v>4</v>
      </c>
      <c r="M481" t="s">
        <v>30</v>
      </c>
      <c r="N481" s="2">
        <v>5</v>
      </c>
    </row>
    <row r="482" spans="1:14">
      <c r="A482" t="s">
        <v>512</v>
      </c>
      <c r="B482" s="1" t="str">
        <f>"17-2121"</f>
        <v>17-2121</v>
      </c>
      <c r="C482" s="1">
        <v>7.6</v>
      </c>
      <c r="D482" s="1">
        <v>7.9</v>
      </c>
      <c r="E482" s="1">
        <v>0.3</v>
      </c>
      <c r="F482" s="1">
        <v>4.4</v>
      </c>
      <c r="G482" s="1">
        <v>0.4</v>
      </c>
      <c r="H482" s="2">
        <v>93370</v>
      </c>
      <c r="I482" t="s">
        <v>15</v>
      </c>
      <c r="J482" s="2">
        <v>3</v>
      </c>
      <c r="K482" t="s">
        <v>16</v>
      </c>
      <c r="L482" s="2">
        <v>4</v>
      </c>
      <c r="M482" t="s">
        <v>16</v>
      </c>
      <c r="N482" s="2">
        <v>6</v>
      </c>
    </row>
    <row r="483" spans="1:14">
      <c r="A483" t="s">
        <v>513</v>
      </c>
      <c r="B483" s="1" t="str">
        <f>"13-1161"</f>
        <v>13-1161</v>
      </c>
      <c r="C483" s="1">
        <v>792.5</v>
      </c>
      <c r="D483" s="1">
        <v>942.8</v>
      </c>
      <c r="E483" s="1">
        <v>150.3</v>
      </c>
      <c r="F483" s="1">
        <v>19</v>
      </c>
      <c r="G483" s="1">
        <v>99.8</v>
      </c>
      <c r="H483" s="2">
        <v>63920</v>
      </c>
      <c r="I483" t="s">
        <v>15</v>
      </c>
      <c r="J483" s="2">
        <v>3</v>
      </c>
      <c r="K483" t="s">
        <v>16</v>
      </c>
      <c r="L483" s="2">
        <v>4</v>
      </c>
      <c r="M483" t="s">
        <v>16</v>
      </c>
      <c r="N483" s="2">
        <v>6</v>
      </c>
    </row>
    <row r="484" spans="1:14">
      <c r="A484" t="s">
        <v>514</v>
      </c>
      <c r="B484" s="1" t="str">
        <f>"11-2021"</f>
        <v>11-2021</v>
      </c>
      <c r="C484" s="1">
        <v>319</v>
      </c>
      <c r="D484" s="1">
        <v>350.7</v>
      </c>
      <c r="E484" s="1">
        <v>31.7</v>
      </c>
      <c r="F484" s="1">
        <v>9.9</v>
      </c>
      <c r="G484" s="1">
        <v>32.2</v>
      </c>
      <c r="H484" s="2">
        <v>135030</v>
      </c>
      <c r="I484" t="s">
        <v>15</v>
      </c>
      <c r="J484" s="2">
        <v>3</v>
      </c>
      <c r="K484" t="s">
        <v>29</v>
      </c>
      <c r="L484" s="2">
        <v>1</v>
      </c>
      <c r="M484" t="s">
        <v>16</v>
      </c>
      <c r="N484" s="2">
        <v>6</v>
      </c>
    </row>
    <row r="485" spans="1:14">
      <c r="A485" t="s">
        <v>515</v>
      </c>
      <c r="B485" s="1" t="str">
        <f>"21-1013"</f>
        <v>21-1013</v>
      </c>
      <c r="C485" s="1">
        <v>65.3</v>
      </c>
      <c r="D485" s="1">
        <v>74.3</v>
      </c>
      <c r="E485" s="1">
        <v>9.1</v>
      </c>
      <c r="F485" s="1">
        <v>13.9</v>
      </c>
      <c r="G485" s="1">
        <v>6.4</v>
      </c>
      <c r="H485" s="2">
        <v>49880</v>
      </c>
      <c r="I485" t="s">
        <v>23</v>
      </c>
      <c r="J485" s="2">
        <v>2</v>
      </c>
      <c r="K485" t="s">
        <v>16</v>
      </c>
      <c r="L485" s="2">
        <v>4</v>
      </c>
      <c r="M485" t="s">
        <v>59</v>
      </c>
      <c r="N485" s="2">
        <v>1</v>
      </c>
    </row>
    <row r="486" spans="1:14">
      <c r="A486" t="s">
        <v>516</v>
      </c>
      <c r="B486" s="1" t="str">
        <f>"31-9011"</f>
        <v>31-9011</v>
      </c>
      <c r="C486" s="1">
        <v>149.9</v>
      </c>
      <c r="D486" s="1">
        <v>179.9</v>
      </c>
      <c r="E486" s="1">
        <v>29.9</v>
      </c>
      <c r="F486" s="1">
        <v>20</v>
      </c>
      <c r="G486" s="1">
        <v>25.2</v>
      </c>
      <c r="H486" s="2">
        <v>46910</v>
      </c>
      <c r="I486" t="s">
        <v>50</v>
      </c>
      <c r="J486" s="2">
        <v>5</v>
      </c>
      <c r="K486" t="s">
        <v>16</v>
      </c>
      <c r="L486" s="2">
        <v>4</v>
      </c>
      <c r="M486" t="s">
        <v>16</v>
      </c>
      <c r="N486" s="2">
        <v>6</v>
      </c>
    </row>
    <row r="487" spans="1:14">
      <c r="A487" t="s">
        <v>517</v>
      </c>
      <c r="B487" s="1" t="str">
        <f>"53-7199"</f>
        <v>53-7199</v>
      </c>
      <c r="C487" s="1">
        <v>25</v>
      </c>
      <c r="D487" s="1">
        <v>26</v>
      </c>
      <c r="E487" s="1">
        <v>1.1</v>
      </c>
      <c r="F487" s="1">
        <v>4.3</v>
      </c>
      <c r="G487" s="1">
        <v>3.5</v>
      </c>
      <c r="H487" s="2">
        <v>36150</v>
      </c>
      <c r="I487" t="s">
        <v>42</v>
      </c>
      <c r="J487" s="2">
        <v>8</v>
      </c>
      <c r="K487" t="s">
        <v>16</v>
      </c>
      <c r="L487" s="2">
        <v>4</v>
      </c>
      <c r="M487" t="s">
        <v>30</v>
      </c>
      <c r="N487" s="2">
        <v>5</v>
      </c>
    </row>
    <row r="488" spans="1:14">
      <c r="A488" t="s">
        <v>518</v>
      </c>
      <c r="B488" s="1" t="str">
        <f>"17-2131"</f>
        <v>17-2131</v>
      </c>
      <c r="C488" s="1">
        <v>22.1</v>
      </c>
      <c r="D488" s="1">
        <v>23.4</v>
      </c>
      <c r="E488" s="1">
        <v>1.3</v>
      </c>
      <c r="F488" s="1">
        <v>6.1</v>
      </c>
      <c r="G488" s="1">
        <v>1.7</v>
      </c>
      <c r="H488" s="2">
        <v>98300</v>
      </c>
      <c r="I488" t="s">
        <v>15</v>
      </c>
      <c r="J488" s="2">
        <v>3</v>
      </c>
      <c r="K488" t="s">
        <v>16</v>
      </c>
      <c r="L488" s="2">
        <v>4</v>
      </c>
      <c r="M488" t="s">
        <v>16</v>
      </c>
      <c r="N488" s="2">
        <v>6</v>
      </c>
    </row>
    <row r="489" spans="1:14">
      <c r="A489" t="s">
        <v>519</v>
      </c>
      <c r="B489" s="1" t="str">
        <f>"19-2032"</f>
        <v>19-2032</v>
      </c>
      <c r="C489" s="1">
        <v>7</v>
      </c>
      <c r="D489" s="1">
        <v>7.4</v>
      </c>
      <c r="E489" s="1">
        <v>0.4</v>
      </c>
      <c r="F489" s="1">
        <v>6</v>
      </c>
      <c r="G489" s="1">
        <v>0.6</v>
      </c>
      <c r="H489" s="2">
        <v>100090</v>
      </c>
      <c r="I489" t="s">
        <v>15</v>
      </c>
      <c r="J489" s="2">
        <v>3</v>
      </c>
      <c r="K489" t="s">
        <v>16</v>
      </c>
      <c r="L489" s="2">
        <v>4</v>
      </c>
      <c r="M489" t="s">
        <v>16</v>
      </c>
      <c r="N489" s="2">
        <v>6</v>
      </c>
    </row>
    <row r="490" spans="1:14">
      <c r="A490" t="s">
        <v>520</v>
      </c>
      <c r="B490" s="1" t="str">
        <f>"15-2099"</f>
        <v>15-2099</v>
      </c>
      <c r="C490" s="1">
        <v>4.4</v>
      </c>
      <c r="D490" s="1">
        <v>4.6</v>
      </c>
      <c r="E490" s="1">
        <v>0.3</v>
      </c>
      <c r="F490" s="1">
        <v>6.6</v>
      </c>
      <c r="G490" s="1">
        <v>0.3</v>
      </c>
      <c r="H490" s="2">
        <v>62460</v>
      </c>
      <c r="I490" t="s">
        <v>15</v>
      </c>
      <c r="J490" s="2">
        <v>3</v>
      </c>
      <c r="K490" t="s">
        <v>16</v>
      </c>
      <c r="L490" s="2">
        <v>4</v>
      </c>
      <c r="M490" t="s">
        <v>16</v>
      </c>
      <c r="N490" s="2">
        <v>6</v>
      </c>
    </row>
    <row r="491" spans="1:14">
      <c r="A491" t="s">
        <v>521</v>
      </c>
      <c r="B491" s="1" t="str">
        <f>"25-1022"</f>
        <v>25-1022</v>
      </c>
      <c r="C491" s="1">
        <v>53.8</v>
      </c>
      <c r="D491" s="1">
        <v>57.1</v>
      </c>
      <c r="E491" s="1">
        <v>3.2</v>
      </c>
      <c r="F491" s="1">
        <v>6</v>
      </c>
      <c r="G491" s="1">
        <v>4.9</v>
      </c>
      <c r="H491" s="2">
        <v>77580</v>
      </c>
      <c r="I491" t="s">
        <v>28</v>
      </c>
      <c r="J491" s="2">
        <v>1</v>
      </c>
      <c r="K491" t="s">
        <v>16</v>
      </c>
      <c r="L491" s="2">
        <v>4</v>
      </c>
      <c r="M491" t="s">
        <v>16</v>
      </c>
      <c r="N491" s="2">
        <v>6</v>
      </c>
    </row>
    <row r="492" spans="1:14">
      <c r="A492" t="s">
        <v>522</v>
      </c>
      <c r="B492" s="1" t="str">
        <f>"15-2021"</f>
        <v>15-2021</v>
      </c>
      <c r="C492" s="1">
        <v>2</v>
      </c>
      <c r="D492" s="1">
        <v>2</v>
      </c>
      <c r="E492" s="1">
        <v>0</v>
      </c>
      <c r="F492" s="1">
        <v>-0.1</v>
      </c>
      <c r="G492" s="1">
        <v>0.1</v>
      </c>
      <c r="H492" s="2">
        <v>108100</v>
      </c>
      <c r="I492" t="s">
        <v>23</v>
      </c>
      <c r="J492" s="2">
        <v>2</v>
      </c>
      <c r="K492" t="s">
        <v>16</v>
      </c>
      <c r="L492" s="2">
        <v>4</v>
      </c>
      <c r="M492" t="s">
        <v>16</v>
      </c>
      <c r="N492" s="2">
        <v>6</v>
      </c>
    </row>
    <row r="493" spans="1:14">
      <c r="A493" t="s">
        <v>523</v>
      </c>
      <c r="B493" s="1" t="str">
        <f>"51-3022"</f>
        <v>51-3022</v>
      </c>
      <c r="C493" s="1">
        <v>137.3</v>
      </c>
      <c r="D493" s="1">
        <v>139.1</v>
      </c>
      <c r="E493" s="1">
        <v>1.8</v>
      </c>
      <c r="F493" s="1">
        <v>1.3</v>
      </c>
      <c r="G493" s="1">
        <v>17.5</v>
      </c>
      <c r="H493" s="2">
        <v>29730</v>
      </c>
      <c r="I493" t="s">
        <v>42</v>
      </c>
      <c r="J493" s="2">
        <v>8</v>
      </c>
      <c r="K493" t="s">
        <v>16</v>
      </c>
      <c r="L493" s="2">
        <v>4</v>
      </c>
      <c r="M493" t="s">
        <v>30</v>
      </c>
      <c r="N493" s="2">
        <v>5</v>
      </c>
    </row>
    <row r="494" spans="1:14">
      <c r="A494" t="s">
        <v>524</v>
      </c>
      <c r="B494" s="1" t="str">
        <f>"49-9011"</f>
        <v>49-9011</v>
      </c>
      <c r="C494" s="1">
        <v>23.7</v>
      </c>
      <c r="D494" s="1">
        <v>26.4</v>
      </c>
      <c r="E494" s="1">
        <v>2.7</v>
      </c>
      <c r="F494" s="1">
        <v>11.4</v>
      </c>
      <c r="G494" s="1">
        <v>2.2</v>
      </c>
      <c r="H494" s="2">
        <v>45060</v>
      </c>
      <c r="I494" t="s">
        <v>25</v>
      </c>
      <c r="J494" s="2">
        <v>7</v>
      </c>
      <c r="K494" t="s">
        <v>16</v>
      </c>
      <c r="L494" s="2">
        <v>4</v>
      </c>
      <c r="M494" t="s">
        <v>26</v>
      </c>
      <c r="N494" s="2">
        <v>4</v>
      </c>
    </row>
    <row r="495" spans="1:14">
      <c r="A495" t="s">
        <v>525</v>
      </c>
      <c r="B495" s="1" t="str">
        <f>"17-3013"</f>
        <v>17-3013</v>
      </c>
      <c r="C495" s="1">
        <v>49.4</v>
      </c>
      <c r="D495" s="1">
        <v>45.2</v>
      </c>
      <c r="E495" s="1">
        <v>-4.2</v>
      </c>
      <c r="F495" s="1">
        <v>-8.5</v>
      </c>
      <c r="G495" s="1">
        <v>3.9</v>
      </c>
      <c r="H495" s="2">
        <v>60200</v>
      </c>
      <c r="I495" t="s">
        <v>37</v>
      </c>
      <c r="J495" s="2">
        <v>4</v>
      </c>
      <c r="K495" t="s">
        <v>16</v>
      </c>
      <c r="L495" s="2">
        <v>4</v>
      </c>
      <c r="M495" t="s">
        <v>16</v>
      </c>
      <c r="N495" s="2">
        <v>6</v>
      </c>
    </row>
    <row r="496" spans="1:14">
      <c r="A496" t="s">
        <v>526</v>
      </c>
      <c r="B496" s="1" t="str">
        <f>"17-3027"</f>
        <v>17-3027</v>
      </c>
      <c r="C496" s="1">
        <v>41.7</v>
      </c>
      <c r="D496" s="1">
        <v>42.5</v>
      </c>
      <c r="E496" s="1">
        <v>0.9</v>
      </c>
      <c r="F496" s="1">
        <v>2.1</v>
      </c>
      <c r="G496" s="1">
        <v>4.2</v>
      </c>
      <c r="H496" s="2">
        <v>60460</v>
      </c>
      <c r="I496" t="s">
        <v>37</v>
      </c>
      <c r="J496" s="2">
        <v>4</v>
      </c>
      <c r="K496" t="s">
        <v>16</v>
      </c>
      <c r="L496" s="2">
        <v>4</v>
      </c>
      <c r="M496" t="s">
        <v>16</v>
      </c>
      <c r="N496" s="2">
        <v>6</v>
      </c>
    </row>
    <row r="497" spans="1:14">
      <c r="A497" t="s">
        <v>527</v>
      </c>
      <c r="B497" s="1" t="str">
        <f>"17-2141"</f>
        <v>17-2141</v>
      </c>
      <c r="C497" s="1">
        <v>284.9</v>
      </c>
      <c r="D497" s="1">
        <v>291.3</v>
      </c>
      <c r="E497" s="1">
        <v>6.4</v>
      </c>
      <c r="F497" s="1">
        <v>2.2</v>
      </c>
      <c r="G497" s="1">
        <v>17.9</v>
      </c>
      <c r="H497" s="2">
        <v>95300</v>
      </c>
      <c r="I497" t="s">
        <v>15</v>
      </c>
      <c r="J497" s="2">
        <v>3</v>
      </c>
      <c r="K497" t="s">
        <v>16</v>
      </c>
      <c r="L497" s="2">
        <v>4</v>
      </c>
      <c r="M497" t="s">
        <v>16</v>
      </c>
      <c r="N497" s="2">
        <v>6</v>
      </c>
    </row>
    <row r="498" spans="1:14">
      <c r="A498" t="s">
        <v>528</v>
      </c>
      <c r="B498" s="1" t="str">
        <f>"27-4099"</f>
        <v>27-4099</v>
      </c>
      <c r="C498" s="1">
        <v>20.7</v>
      </c>
      <c r="D498" s="1">
        <v>21.7</v>
      </c>
      <c r="E498" s="1">
        <v>1</v>
      </c>
      <c r="F498" s="1">
        <v>5</v>
      </c>
      <c r="G498" s="1">
        <v>2.1</v>
      </c>
      <c r="H498" s="2">
        <v>63250</v>
      </c>
      <c r="I498" t="s">
        <v>25</v>
      </c>
      <c r="J498" s="2">
        <v>7</v>
      </c>
      <c r="K498" t="s">
        <v>16</v>
      </c>
      <c r="L498" s="2">
        <v>4</v>
      </c>
      <c r="M498" t="s">
        <v>30</v>
      </c>
      <c r="N498" s="2">
        <v>5</v>
      </c>
    </row>
    <row r="499" spans="1:14">
      <c r="A499" t="s">
        <v>529</v>
      </c>
      <c r="B499" s="1" t="str">
        <f>"27-3099"</f>
        <v>27-3099</v>
      </c>
      <c r="C499" s="1">
        <v>20.5</v>
      </c>
      <c r="D499" s="1">
        <v>21.9</v>
      </c>
      <c r="E499" s="1">
        <v>1.4</v>
      </c>
      <c r="F499" s="1">
        <v>7</v>
      </c>
      <c r="G499" s="1">
        <v>2.1</v>
      </c>
      <c r="H499" s="2">
        <v>49900</v>
      </c>
      <c r="I499" t="s">
        <v>25</v>
      </c>
      <c r="J499" s="2">
        <v>7</v>
      </c>
      <c r="K499" t="s">
        <v>16</v>
      </c>
      <c r="L499" s="2">
        <v>4</v>
      </c>
      <c r="M499" t="s">
        <v>30</v>
      </c>
      <c r="N499" s="2">
        <v>5</v>
      </c>
    </row>
    <row r="500" spans="1:14">
      <c r="A500" t="s">
        <v>530</v>
      </c>
      <c r="B500" s="1" t="str">
        <f>"11-9111"</f>
        <v>11-9111</v>
      </c>
      <c r="C500" s="1">
        <v>480.7</v>
      </c>
      <c r="D500" s="1">
        <v>616.9</v>
      </c>
      <c r="E500" s="1">
        <v>136.2</v>
      </c>
      <c r="F500" s="1">
        <v>28.3</v>
      </c>
      <c r="G500" s="1">
        <v>56.6</v>
      </c>
      <c r="H500" s="2">
        <v>101340</v>
      </c>
      <c r="I500" t="s">
        <v>15</v>
      </c>
      <c r="J500" s="2">
        <v>3</v>
      </c>
      <c r="K500" t="s">
        <v>32</v>
      </c>
      <c r="L500" s="2">
        <v>2</v>
      </c>
      <c r="M500" t="s">
        <v>16</v>
      </c>
      <c r="N500" s="2">
        <v>6</v>
      </c>
    </row>
    <row r="501" spans="1:14">
      <c r="A501" t="s">
        <v>531</v>
      </c>
      <c r="B501" s="1" t="str">
        <f>"51-9082"</f>
        <v>51-9082</v>
      </c>
      <c r="C501" s="1">
        <v>16.4</v>
      </c>
      <c r="D501" s="1">
        <v>17.3</v>
      </c>
      <c r="E501" s="1">
        <v>0.9</v>
      </c>
      <c r="F501" s="1">
        <v>5.3</v>
      </c>
      <c r="G501" s="1">
        <v>2.3</v>
      </c>
      <c r="H501" s="2">
        <v>45280</v>
      </c>
      <c r="I501" t="s">
        <v>25</v>
      </c>
      <c r="J501" s="2">
        <v>7</v>
      </c>
      <c r="K501" t="s">
        <v>16</v>
      </c>
      <c r="L501" s="2">
        <v>4</v>
      </c>
      <c r="M501" t="s">
        <v>26</v>
      </c>
      <c r="N501" s="2">
        <v>4</v>
      </c>
    </row>
    <row r="502" spans="1:14">
      <c r="A502" t="s">
        <v>532</v>
      </c>
      <c r="B502" s="1" t="str">
        <f>"31-9092"</f>
        <v>31-9092</v>
      </c>
      <c r="C502" s="1">
        <v>743.5</v>
      </c>
      <c r="D502" s="1">
        <v>861.3</v>
      </c>
      <c r="E502" s="1">
        <v>117.8</v>
      </c>
      <c r="F502" s="1">
        <v>15.8</v>
      </c>
      <c r="G502" s="1">
        <v>123</v>
      </c>
      <c r="H502" s="2">
        <v>37190</v>
      </c>
      <c r="I502" t="s">
        <v>50</v>
      </c>
      <c r="J502" s="2">
        <v>5</v>
      </c>
      <c r="K502" t="s">
        <v>16</v>
      </c>
      <c r="L502" s="2">
        <v>4</v>
      </c>
      <c r="M502" t="s">
        <v>16</v>
      </c>
      <c r="N502" s="2">
        <v>6</v>
      </c>
    </row>
    <row r="503" spans="1:14">
      <c r="A503" t="s">
        <v>533</v>
      </c>
      <c r="B503" s="1" t="str">
        <f>"29-2036"</f>
        <v>29-2036</v>
      </c>
      <c r="C503" s="1">
        <v>2.7</v>
      </c>
      <c r="D503" s="1">
        <v>2.8</v>
      </c>
      <c r="E503" s="1">
        <v>0.1</v>
      </c>
      <c r="F503" s="1">
        <v>2.6</v>
      </c>
      <c r="G503" s="1">
        <v>0.1</v>
      </c>
      <c r="H503" s="2">
        <v>127270</v>
      </c>
      <c r="I503" t="s">
        <v>15</v>
      </c>
      <c r="J503" s="2">
        <v>3</v>
      </c>
      <c r="K503" t="s">
        <v>16</v>
      </c>
      <c r="L503" s="2">
        <v>4</v>
      </c>
      <c r="M503" t="s">
        <v>16</v>
      </c>
      <c r="N503" s="2">
        <v>6</v>
      </c>
    </row>
    <row r="504" spans="1:14">
      <c r="A504" t="s">
        <v>534</v>
      </c>
      <c r="B504" s="1" t="str">
        <f>"31-9093"</f>
        <v>31-9093</v>
      </c>
      <c r="C504" s="1">
        <v>62.6</v>
      </c>
      <c r="D504" s="1">
        <v>66.4</v>
      </c>
      <c r="E504" s="1">
        <v>3.7</v>
      </c>
      <c r="F504" s="1">
        <v>6</v>
      </c>
      <c r="G504" s="1">
        <v>9.5</v>
      </c>
      <c r="H504" s="2">
        <v>38220</v>
      </c>
      <c r="I504" t="s">
        <v>25</v>
      </c>
      <c r="J504" s="2">
        <v>7</v>
      </c>
      <c r="K504" t="s">
        <v>16</v>
      </c>
      <c r="L504" s="2">
        <v>4</v>
      </c>
      <c r="M504" t="s">
        <v>26</v>
      </c>
      <c r="N504" s="2">
        <v>4</v>
      </c>
    </row>
    <row r="505" spans="1:14">
      <c r="A505" t="s">
        <v>535</v>
      </c>
      <c r="B505" s="1" t="str">
        <f>"49-9062"</f>
        <v>49-9062</v>
      </c>
      <c r="C505" s="1">
        <v>59.1</v>
      </c>
      <c r="D505" s="1">
        <v>69.1</v>
      </c>
      <c r="E505" s="1">
        <v>10</v>
      </c>
      <c r="F505" s="1">
        <v>17</v>
      </c>
      <c r="G505" s="1">
        <v>7.7</v>
      </c>
      <c r="H505" s="2">
        <v>49910</v>
      </c>
      <c r="I505" t="s">
        <v>37</v>
      </c>
      <c r="J505" s="2">
        <v>4</v>
      </c>
      <c r="K505" t="s">
        <v>16</v>
      </c>
      <c r="L505" s="2">
        <v>4</v>
      </c>
      <c r="M505" t="s">
        <v>26</v>
      </c>
      <c r="N505" s="2">
        <v>4</v>
      </c>
    </row>
    <row r="506" spans="1:14">
      <c r="A506" t="s">
        <v>536</v>
      </c>
      <c r="B506" s="1" t="str">
        <f>"29-2072"</f>
        <v>29-2072</v>
      </c>
      <c r="C506" s="1">
        <v>186.4</v>
      </c>
      <c r="D506" s="1">
        <v>198.7</v>
      </c>
      <c r="E506" s="1">
        <v>12.3</v>
      </c>
      <c r="F506" s="1">
        <v>6.6</v>
      </c>
      <c r="G506" s="1">
        <v>14.9</v>
      </c>
      <c r="H506" s="2">
        <v>46660</v>
      </c>
      <c r="I506" t="s">
        <v>50</v>
      </c>
      <c r="J506" s="2">
        <v>5</v>
      </c>
      <c r="K506" t="s">
        <v>16</v>
      </c>
      <c r="L506" s="2">
        <v>4</v>
      </c>
      <c r="M506" t="s">
        <v>16</v>
      </c>
      <c r="N506" s="2">
        <v>6</v>
      </c>
    </row>
    <row r="507" spans="1:14">
      <c r="A507" t="s">
        <v>537</v>
      </c>
      <c r="B507" s="1" t="str">
        <f>"19-1042"</f>
        <v>19-1042</v>
      </c>
      <c r="C507" s="1">
        <v>119.2</v>
      </c>
      <c r="D507" s="1">
        <v>140</v>
      </c>
      <c r="E507" s="1">
        <v>20.8</v>
      </c>
      <c r="F507" s="1">
        <v>17.4</v>
      </c>
      <c r="G507" s="1">
        <v>10</v>
      </c>
      <c r="H507" s="2">
        <v>95310</v>
      </c>
      <c r="I507" t="s">
        <v>28</v>
      </c>
      <c r="J507" s="2">
        <v>1</v>
      </c>
      <c r="K507" t="s">
        <v>16</v>
      </c>
      <c r="L507" s="2">
        <v>4</v>
      </c>
      <c r="M507" t="s">
        <v>16</v>
      </c>
      <c r="N507" s="2">
        <v>6</v>
      </c>
    </row>
    <row r="508" spans="1:14">
      <c r="A508" t="s">
        <v>538</v>
      </c>
      <c r="B508" s="1" t="str">
        <f>"43-6013"</f>
        <v>43-6013</v>
      </c>
      <c r="C508" s="1">
        <v>672.3</v>
      </c>
      <c r="D508" s="1">
        <v>725.8</v>
      </c>
      <c r="E508" s="1">
        <v>53.6</v>
      </c>
      <c r="F508" s="1">
        <v>8</v>
      </c>
      <c r="G508" s="1">
        <v>85.8</v>
      </c>
      <c r="H508" s="2">
        <v>37450</v>
      </c>
      <c r="I508" t="s">
        <v>25</v>
      </c>
      <c r="J508" s="2">
        <v>7</v>
      </c>
      <c r="K508" t="s">
        <v>16</v>
      </c>
      <c r="L508" s="2">
        <v>4</v>
      </c>
      <c r="M508" t="s">
        <v>26</v>
      </c>
      <c r="N508" s="2">
        <v>4</v>
      </c>
    </row>
    <row r="509" spans="1:14">
      <c r="A509" t="s">
        <v>539</v>
      </c>
      <c r="B509" s="1" t="str">
        <f>"31-9094"</f>
        <v>31-9094</v>
      </c>
      <c r="C509" s="1">
        <v>59.6</v>
      </c>
      <c r="D509" s="1">
        <v>55.7</v>
      </c>
      <c r="E509" s="1">
        <v>-3.9</v>
      </c>
      <c r="F509" s="1">
        <v>-6.5</v>
      </c>
      <c r="G509" s="1">
        <v>9.3</v>
      </c>
      <c r="H509" s="2">
        <v>30100</v>
      </c>
      <c r="I509" t="s">
        <v>50</v>
      </c>
      <c r="J509" s="2">
        <v>5</v>
      </c>
      <c r="K509" t="s">
        <v>16</v>
      </c>
      <c r="L509" s="2">
        <v>4</v>
      </c>
      <c r="M509" t="s">
        <v>16</v>
      </c>
      <c r="N509" s="2">
        <v>6</v>
      </c>
    </row>
    <row r="510" spans="1:14">
      <c r="A510" t="s">
        <v>540</v>
      </c>
      <c r="B510" s="1" t="str">
        <f>"13-1121"</f>
        <v>13-1121</v>
      </c>
      <c r="C510" s="1">
        <v>128.2</v>
      </c>
      <c r="D510" s="1">
        <v>151.1</v>
      </c>
      <c r="E510" s="1">
        <v>22.9</v>
      </c>
      <c r="F510" s="1">
        <v>17.8</v>
      </c>
      <c r="G510" s="1">
        <v>16.6</v>
      </c>
      <c r="H510" s="2">
        <v>49470</v>
      </c>
      <c r="I510" t="s">
        <v>15</v>
      </c>
      <c r="J510" s="2">
        <v>3</v>
      </c>
      <c r="K510" t="s">
        <v>16</v>
      </c>
      <c r="L510" s="2">
        <v>4</v>
      </c>
      <c r="M510" t="s">
        <v>16</v>
      </c>
      <c r="N510" s="2">
        <v>6</v>
      </c>
    </row>
    <row r="511" spans="1:14">
      <c r="A511" t="s">
        <v>541</v>
      </c>
      <c r="B511" s="1" t="str">
        <f>"21-1023"</f>
        <v>21-1023</v>
      </c>
      <c r="C511" s="1">
        <v>119.8</v>
      </c>
      <c r="D511" s="1">
        <v>133.2</v>
      </c>
      <c r="E511" s="1">
        <v>13.3</v>
      </c>
      <c r="F511" s="1">
        <v>11.1</v>
      </c>
      <c r="G511" s="1">
        <v>12.7</v>
      </c>
      <c r="H511" s="2">
        <v>49130</v>
      </c>
      <c r="I511" t="s">
        <v>23</v>
      </c>
      <c r="J511" s="2">
        <v>2</v>
      </c>
      <c r="K511" t="s">
        <v>16</v>
      </c>
      <c r="L511" s="2">
        <v>4</v>
      </c>
      <c r="M511" t="s">
        <v>59</v>
      </c>
      <c r="N511" s="2">
        <v>1</v>
      </c>
    </row>
    <row r="512" spans="1:14">
      <c r="A512" t="s">
        <v>542</v>
      </c>
      <c r="B512" s="1" t="str">
        <f>"27-1026"</f>
        <v>27-1026</v>
      </c>
      <c r="C512" s="1">
        <v>161.6</v>
      </c>
      <c r="D512" s="1">
        <v>169.1</v>
      </c>
      <c r="E512" s="1">
        <v>7.5</v>
      </c>
      <c r="F512" s="1">
        <v>4.6</v>
      </c>
      <c r="G512" s="1">
        <v>20.1</v>
      </c>
      <c r="H512" s="2">
        <v>32060</v>
      </c>
      <c r="I512" t="s">
        <v>25</v>
      </c>
      <c r="J512" s="2">
        <v>7</v>
      </c>
      <c r="K512" t="s">
        <v>16</v>
      </c>
      <c r="L512" s="2">
        <v>4</v>
      </c>
      <c r="M512" t="s">
        <v>30</v>
      </c>
      <c r="N512" s="2">
        <v>5</v>
      </c>
    </row>
    <row r="513" spans="1:14">
      <c r="A513" t="s">
        <v>543</v>
      </c>
      <c r="B513" s="1" t="str">
        <f>"51-4199"</f>
        <v>51-4199</v>
      </c>
      <c r="C513" s="1">
        <v>19.4</v>
      </c>
      <c r="D513" s="1">
        <v>18</v>
      </c>
      <c r="E513" s="1">
        <v>-1.4</v>
      </c>
      <c r="F513" s="1">
        <v>-7.1</v>
      </c>
      <c r="G513" s="1">
        <v>1.8</v>
      </c>
      <c r="H513" s="2">
        <v>36990</v>
      </c>
      <c r="I513" t="s">
        <v>25</v>
      </c>
      <c r="J513" s="2">
        <v>7</v>
      </c>
      <c r="K513" t="s">
        <v>16</v>
      </c>
      <c r="L513" s="2">
        <v>4</v>
      </c>
      <c r="M513" t="s">
        <v>26</v>
      </c>
      <c r="N513" s="2">
        <v>4</v>
      </c>
    </row>
    <row r="514" spans="1:14">
      <c r="A514" t="s">
        <v>544</v>
      </c>
      <c r="B514" s="1" t="str">
        <f>"51-4051"</f>
        <v>51-4051</v>
      </c>
      <c r="C514" s="1">
        <v>15.9</v>
      </c>
      <c r="D514" s="1">
        <v>14.9</v>
      </c>
      <c r="E514" s="1">
        <v>-1</v>
      </c>
      <c r="F514" s="1">
        <v>-6.4</v>
      </c>
      <c r="G514" s="1">
        <v>1.5</v>
      </c>
      <c r="H514" s="2">
        <v>46690</v>
      </c>
      <c r="I514" t="s">
        <v>25</v>
      </c>
      <c r="J514" s="2">
        <v>7</v>
      </c>
      <c r="K514" t="s">
        <v>16</v>
      </c>
      <c r="L514" s="2">
        <v>4</v>
      </c>
      <c r="M514" t="s">
        <v>26</v>
      </c>
      <c r="N514" s="2">
        <v>4</v>
      </c>
    </row>
    <row r="515" spans="1:14">
      <c r="A515" t="s">
        <v>545</v>
      </c>
      <c r="B515" s="1" t="str">
        <f>"43-5041"</f>
        <v>43-5041</v>
      </c>
      <c r="C515" s="1">
        <v>24.5</v>
      </c>
      <c r="D515" s="1">
        <v>21.8</v>
      </c>
      <c r="E515" s="1">
        <v>-2.7</v>
      </c>
      <c r="F515" s="1">
        <v>-10.9</v>
      </c>
      <c r="G515" s="1">
        <v>1.6</v>
      </c>
      <c r="H515" s="2">
        <v>45720</v>
      </c>
      <c r="I515" t="s">
        <v>25</v>
      </c>
      <c r="J515" s="2">
        <v>7</v>
      </c>
      <c r="K515" t="s">
        <v>16</v>
      </c>
      <c r="L515" s="2">
        <v>4</v>
      </c>
      <c r="M515" t="s">
        <v>30</v>
      </c>
      <c r="N515" s="2">
        <v>5</v>
      </c>
    </row>
    <row r="516" spans="1:14">
      <c r="A516" t="s">
        <v>546</v>
      </c>
      <c r="B516" s="1" t="str">
        <f>"19-1022"</f>
        <v>19-1022</v>
      </c>
      <c r="C516" s="1">
        <v>20.8</v>
      </c>
      <c r="D516" s="1">
        <v>22.6</v>
      </c>
      <c r="E516" s="1">
        <v>1.9</v>
      </c>
      <c r="F516" s="1">
        <v>9</v>
      </c>
      <c r="G516" s="1">
        <v>2</v>
      </c>
      <c r="H516" s="2">
        <v>79260</v>
      </c>
      <c r="I516" t="s">
        <v>15</v>
      </c>
      <c r="J516" s="2">
        <v>3</v>
      </c>
      <c r="K516" t="s">
        <v>16</v>
      </c>
      <c r="L516" s="2">
        <v>4</v>
      </c>
      <c r="M516" t="s">
        <v>16</v>
      </c>
      <c r="N516" s="2">
        <v>6</v>
      </c>
    </row>
    <row r="517" spans="1:14">
      <c r="A517" t="s">
        <v>547</v>
      </c>
      <c r="B517" s="1" t="str">
        <f>"25-2022"</f>
        <v>25-2022</v>
      </c>
      <c r="C517" s="1">
        <v>606.5</v>
      </c>
      <c r="D517" s="1">
        <v>631.5</v>
      </c>
      <c r="E517" s="1">
        <v>25</v>
      </c>
      <c r="F517" s="1">
        <v>4.1</v>
      </c>
      <c r="G517" s="1">
        <v>47.3</v>
      </c>
      <c r="H517" s="2">
        <v>61320</v>
      </c>
      <c r="I517" t="s">
        <v>15</v>
      </c>
      <c r="J517" s="2">
        <v>3</v>
      </c>
      <c r="K517" t="s">
        <v>16</v>
      </c>
      <c r="L517" s="2">
        <v>4</v>
      </c>
      <c r="M517" t="s">
        <v>16</v>
      </c>
      <c r="N517" s="2">
        <v>6</v>
      </c>
    </row>
    <row r="518" spans="1:14">
      <c r="A518" t="s">
        <v>548</v>
      </c>
      <c r="B518" s="1" t="str">
        <f>"51-4035"</f>
        <v>51-4035</v>
      </c>
      <c r="C518" s="1">
        <v>15.2</v>
      </c>
      <c r="D518" s="1">
        <v>12.5</v>
      </c>
      <c r="E518" s="1">
        <v>-2.7</v>
      </c>
      <c r="F518" s="1">
        <v>-17.7</v>
      </c>
      <c r="G518" s="1">
        <v>1.6</v>
      </c>
      <c r="H518" s="2">
        <v>46850</v>
      </c>
      <c r="I518" t="s">
        <v>25</v>
      </c>
      <c r="J518" s="2">
        <v>7</v>
      </c>
      <c r="K518" t="s">
        <v>16</v>
      </c>
      <c r="L518" s="2">
        <v>4</v>
      </c>
      <c r="M518" t="s">
        <v>26</v>
      </c>
      <c r="N518" s="2">
        <v>4</v>
      </c>
    </row>
    <row r="519" spans="1:14">
      <c r="A519" t="s">
        <v>549</v>
      </c>
      <c r="B519" s="1" t="str">
        <f>"49-9044"</f>
        <v>49-9044</v>
      </c>
      <c r="C519" s="1">
        <v>39.9</v>
      </c>
      <c r="D519" s="1">
        <v>42</v>
      </c>
      <c r="E519" s="1">
        <v>2.1</v>
      </c>
      <c r="F519" s="1">
        <v>5.2</v>
      </c>
      <c r="G519" s="1">
        <v>3.8</v>
      </c>
      <c r="H519" s="2">
        <v>60330</v>
      </c>
      <c r="I519" t="s">
        <v>25</v>
      </c>
      <c r="J519" s="2">
        <v>7</v>
      </c>
      <c r="K519" t="s">
        <v>16</v>
      </c>
      <c r="L519" s="2">
        <v>4</v>
      </c>
      <c r="M519" t="s">
        <v>104</v>
      </c>
      <c r="N519" s="2">
        <v>2</v>
      </c>
    </row>
    <row r="520" spans="1:14">
      <c r="A520" t="s">
        <v>550</v>
      </c>
      <c r="B520" s="1" t="str">
        <f>"17-2151"</f>
        <v>17-2151</v>
      </c>
      <c r="C520" s="1">
        <v>7.5</v>
      </c>
      <c r="D520" s="1">
        <v>7.7</v>
      </c>
      <c r="E520" s="1">
        <v>0.1</v>
      </c>
      <c r="F520" s="1">
        <v>1.9</v>
      </c>
      <c r="G520" s="1">
        <v>0.5</v>
      </c>
      <c r="H520" s="2">
        <v>97090</v>
      </c>
      <c r="I520" t="s">
        <v>15</v>
      </c>
      <c r="J520" s="2">
        <v>3</v>
      </c>
      <c r="K520" t="s">
        <v>16</v>
      </c>
      <c r="L520" s="2">
        <v>4</v>
      </c>
      <c r="M520" t="s">
        <v>16</v>
      </c>
      <c r="N520" s="2">
        <v>6</v>
      </c>
    </row>
    <row r="521" spans="1:14">
      <c r="A521" t="s">
        <v>551</v>
      </c>
      <c r="B521" s="1" t="str">
        <f>"51-2090"</f>
        <v>51-2090</v>
      </c>
      <c r="C521" s="1">
        <v>1367.1</v>
      </c>
      <c r="D521" s="1">
        <v>1270.7</v>
      </c>
      <c r="E521" s="1">
        <v>-96.4</v>
      </c>
      <c r="F521" s="1">
        <v>-7.1</v>
      </c>
      <c r="G521" s="1">
        <v>142.7</v>
      </c>
      <c r="H521" s="2">
        <v>36590</v>
      </c>
      <c r="I521" t="s">
        <v>25</v>
      </c>
      <c r="J521" s="2">
        <v>7</v>
      </c>
      <c r="K521" t="s">
        <v>16</v>
      </c>
      <c r="L521" s="2">
        <v>4</v>
      </c>
      <c r="M521" t="s">
        <v>26</v>
      </c>
      <c r="N521" s="2">
        <v>4</v>
      </c>
    </row>
    <row r="522" spans="1:14">
      <c r="A522" t="s">
        <v>552</v>
      </c>
      <c r="B522" s="1" t="str">
        <f>"47-4090"</f>
        <v>47-4090</v>
      </c>
      <c r="C522" s="1">
        <v>33</v>
      </c>
      <c r="D522" s="1">
        <v>34.4</v>
      </c>
      <c r="E522" s="1">
        <v>1.3</v>
      </c>
      <c r="F522" s="1">
        <v>4</v>
      </c>
      <c r="G522" s="1">
        <v>3.8</v>
      </c>
      <c r="H522" s="2">
        <v>39850</v>
      </c>
      <c r="I522" t="s">
        <v>25</v>
      </c>
      <c r="J522" s="2">
        <v>7</v>
      </c>
      <c r="K522" t="s">
        <v>16</v>
      </c>
      <c r="L522" s="2">
        <v>4</v>
      </c>
      <c r="M522" t="s">
        <v>26</v>
      </c>
      <c r="N522" s="2">
        <v>4</v>
      </c>
    </row>
    <row r="523" spans="1:14">
      <c r="A523" t="s">
        <v>553</v>
      </c>
      <c r="B523" s="1" t="str">
        <f>"51-9023"</f>
        <v>51-9023</v>
      </c>
      <c r="C523" s="1">
        <v>111</v>
      </c>
      <c r="D523" s="1">
        <v>113.5</v>
      </c>
      <c r="E523" s="1">
        <v>2.5</v>
      </c>
      <c r="F523" s="1">
        <v>2.3</v>
      </c>
      <c r="G523" s="1">
        <v>12.8</v>
      </c>
      <c r="H523" s="2">
        <v>38420</v>
      </c>
      <c r="I523" t="s">
        <v>25</v>
      </c>
      <c r="J523" s="2">
        <v>7</v>
      </c>
      <c r="K523" t="s">
        <v>16</v>
      </c>
      <c r="L523" s="2">
        <v>4</v>
      </c>
      <c r="M523" t="s">
        <v>26</v>
      </c>
      <c r="N523" s="2">
        <v>4</v>
      </c>
    </row>
    <row r="524" spans="1:14">
      <c r="A524" t="s">
        <v>554</v>
      </c>
      <c r="B524" s="1" t="str">
        <f>"49-3042"</f>
        <v>49-3042</v>
      </c>
      <c r="C524" s="1">
        <v>152.6</v>
      </c>
      <c r="D524" s="1">
        <v>164.2</v>
      </c>
      <c r="E524" s="1">
        <v>11.6</v>
      </c>
      <c r="F524" s="1">
        <v>7.6</v>
      </c>
      <c r="G524" s="1">
        <v>16.3</v>
      </c>
      <c r="H524" s="2">
        <v>58030</v>
      </c>
      <c r="I524" t="s">
        <v>25</v>
      </c>
      <c r="J524" s="2">
        <v>7</v>
      </c>
      <c r="K524" t="s">
        <v>16</v>
      </c>
      <c r="L524" s="2">
        <v>4</v>
      </c>
      <c r="M524" t="s">
        <v>20</v>
      </c>
      <c r="N524" s="2">
        <v>3</v>
      </c>
    </row>
    <row r="525" spans="1:14">
      <c r="A525" t="s">
        <v>555</v>
      </c>
      <c r="B525" s="1" t="str">
        <f>"51-4061"</f>
        <v>51-4061</v>
      </c>
      <c r="C525" s="1">
        <v>3.8</v>
      </c>
      <c r="D525" s="1">
        <v>3.5</v>
      </c>
      <c r="E525" s="1">
        <v>-0.3</v>
      </c>
      <c r="F525" s="1">
        <v>-7.1</v>
      </c>
      <c r="G525" s="1">
        <v>0.3</v>
      </c>
      <c r="H525" s="2">
        <v>55630</v>
      </c>
      <c r="I525" t="s">
        <v>25</v>
      </c>
      <c r="J525" s="2">
        <v>7</v>
      </c>
      <c r="K525" t="s">
        <v>16</v>
      </c>
      <c r="L525" s="2">
        <v>4</v>
      </c>
      <c r="M525" t="s">
        <v>26</v>
      </c>
      <c r="N525" s="2">
        <v>4</v>
      </c>
    </row>
    <row r="526" spans="1:14">
      <c r="A526" t="s">
        <v>556</v>
      </c>
      <c r="B526" s="1" t="str">
        <f>"51-7031"</f>
        <v>51-7031</v>
      </c>
      <c r="C526" s="1">
        <v>0.5</v>
      </c>
      <c r="D526" s="1">
        <v>0.5</v>
      </c>
      <c r="E526" s="1">
        <v>0</v>
      </c>
      <c r="F526" s="1">
        <v>7.3</v>
      </c>
      <c r="G526" s="1">
        <v>0.1</v>
      </c>
      <c r="H526" s="2">
        <v>60780</v>
      </c>
      <c r="I526" t="s">
        <v>25</v>
      </c>
      <c r="J526" s="2">
        <v>7</v>
      </c>
      <c r="K526" t="s">
        <v>16</v>
      </c>
      <c r="L526" s="2">
        <v>4</v>
      </c>
      <c r="M526" t="s">
        <v>26</v>
      </c>
      <c r="N526" s="2">
        <v>4</v>
      </c>
    </row>
    <row r="527" spans="1:14">
      <c r="A527" t="s">
        <v>557</v>
      </c>
      <c r="B527" s="1" t="str">
        <f>"41-9012"</f>
        <v>41-9012</v>
      </c>
      <c r="C527" s="1">
        <v>2.4</v>
      </c>
      <c r="D527" s="1">
        <v>2.6</v>
      </c>
      <c r="E527" s="1">
        <v>0.2</v>
      </c>
      <c r="F527" s="1">
        <v>9.2</v>
      </c>
      <c r="G527" s="1">
        <v>0.5</v>
      </c>
      <c r="H527" s="2" t="s">
        <v>18</v>
      </c>
      <c r="I527" t="s">
        <v>42</v>
      </c>
      <c r="J527" s="2">
        <v>8</v>
      </c>
      <c r="K527" t="s">
        <v>16</v>
      </c>
      <c r="L527" s="2">
        <v>4</v>
      </c>
      <c r="M527" t="s">
        <v>16</v>
      </c>
      <c r="N527" s="2">
        <v>6</v>
      </c>
    </row>
    <row r="528" spans="1:14">
      <c r="A528" t="s">
        <v>558</v>
      </c>
      <c r="B528" s="1" t="str">
        <f>"51-9195"</f>
        <v>51-9195</v>
      </c>
      <c r="C528" s="1">
        <v>41.3</v>
      </c>
      <c r="D528" s="1">
        <v>49.2</v>
      </c>
      <c r="E528" s="1">
        <v>7.9</v>
      </c>
      <c r="F528" s="1">
        <v>19.3</v>
      </c>
      <c r="G528" s="1">
        <v>5.7</v>
      </c>
      <c r="H528" s="2">
        <v>37500</v>
      </c>
      <c r="I528" t="s">
        <v>25</v>
      </c>
      <c r="J528" s="2">
        <v>7</v>
      </c>
      <c r="K528" t="s">
        <v>16</v>
      </c>
      <c r="L528" s="2">
        <v>4</v>
      </c>
      <c r="M528" t="s">
        <v>20</v>
      </c>
      <c r="N528" s="2">
        <v>3</v>
      </c>
    </row>
    <row r="529" spans="1:14">
      <c r="A529" t="s">
        <v>559</v>
      </c>
      <c r="B529" s="1" t="str">
        <f>"51-4072"</f>
        <v>51-4072</v>
      </c>
      <c r="C529" s="1">
        <v>166.1</v>
      </c>
      <c r="D529" s="1">
        <v>165.2</v>
      </c>
      <c r="E529" s="1">
        <v>-0.9</v>
      </c>
      <c r="F529" s="1">
        <v>-0.6</v>
      </c>
      <c r="G529" s="1">
        <v>16.8</v>
      </c>
      <c r="H529" s="2">
        <v>36370</v>
      </c>
      <c r="I529" t="s">
        <v>25</v>
      </c>
      <c r="J529" s="2">
        <v>7</v>
      </c>
      <c r="K529" t="s">
        <v>16</v>
      </c>
      <c r="L529" s="2">
        <v>4</v>
      </c>
      <c r="M529" t="s">
        <v>26</v>
      </c>
      <c r="N529" s="2">
        <v>4</v>
      </c>
    </row>
    <row r="530" spans="1:14">
      <c r="A530" t="s">
        <v>560</v>
      </c>
      <c r="B530" s="1" t="str">
        <f>"39-4031"</f>
        <v>39-4031</v>
      </c>
      <c r="C530" s="1">
        <v>27.4</v>
      </c>
      <c r="D530" s="1">
        <v>29.9</v>
      </c>
      <c r="E530" s="1">
        <v>2.5</v>
      </c>
      <c r="F530" s="1">
        <v>9</v>
      </c>
      <c r="G530" s="1">
        <v>4.3</v>
      </c>
      <c r="H530" s="2">
        <v>48950</v>
      </c>
      <c r="I530" t="s">
        <v>37</v>
      </c>
      <c r="J530" s="2">
        <v>4</v>
      </c>
      <c r="K530" t="s">
        <v>16</v>
      </c>
      <c r="L530" s="2">
        <v>4</v>
      </c>
      <c r="M530" t="s">
        <v>20</v>
      </c>
      <c r="N530" s="2">
        <v>3</v>
      </c>
    </row>
    <row r="531" spans="1:14">
      <c r="A531" t="s">
        <v>561</v>
      </c>
      <c r="B531" s="1" t="str">
        <f>"39-3021"</f>
        <v>39-3021</v>
      </c>
      <c r="C531" s="1">
        <v>2</v>
      </c>
      <c r="D531" s="1">
        <v>2.8</v>
      </c>
      <c r="E531" s="1">
        <v>0.8</v>
      </c>
      <c r="F531" s="1">
        <v>40.3</v>
      </c>
      <c r="G531" s="1">
        <v>0.7</v>
      </c>
      <c r="H531" s="2">
        <v>29350</v>
      </c>
      <c r="I531" t="s">
        <v>42</v>
      </c>
      <c r="J531" s="2">
        <v>8</v>
      </c>
      <c r="K531" t="s">
        <v>16</v>
      </c>
      <c r="L531" s="2">
        <v>4</v>
      </c>
      <c r="M531" t="s">
        <v>30</v>
      </c>
      <c r="N531" s="2">
        <v>5</v>
      </c>
    </row>
    <row r="532" spans="1:14">
      <c r="A532" t="s">
        <v>562</v>
      </c>
      <c r="B532" s="1" t="str">
        <f>"53-3099"</f>
        <v>53-3099</v>
      </c>
      <c r="C532" s="1">
        <v>68.4</v>
      </c>
      <c r="D532" s="1">
        <v>74.1</v>
      </c>
      <c r="E532" s="1">
        <v>5.7</v>
      </c>
      <c r="F532" s="1">
        <v>8.3</v>
      </c>
      <c r="G532" s="1">
        <v>11.9</v>
      </c>
      <c r="H532" s="2">
        <v>30600</v>
      </c>
      <c r="I532" t="s">
        <v>42</v>
      </c>
      <c r="J532" s="2">
        <v>8</v>
      </c>
      <c r="K532" t="s">
        <v>16</v>
      </c>
      <c r="L532" s="2">
        <v>4</v>
      </c>
      <c r="M532" t="s">
        <v>30</v>
      </c>
      <c r="N532" s="2">
        <v>5</v>
      </c>
    </row>
    <row r="533" spans="1:14">
      <c r="A533" t="s">
        <v>563</v>
      </c>
      <c r="B533" s="1" t="str">
        <f>"49-3051"</f>
        <v>49-3051</v>
      </c>
      <c r="C533" s="1">
        <v>25.7</v>
      </c>
      <c r="D533" s="1">
        <v>27.8</v>
      </c>
      <c r="E533" s="1">
        <v>2.1</v>
      </c>
      <c r="F533" s="1">
        <v>8.3</v>
      </c>
      <c r="G533" s="1">
        <v>3</v>
      </c>
      <c r="H533" s="2">
        <v>46730</v>
      </c>
      <c r="I533" t="s">
        <v>25</v>
      </c>
      <c r="J533" s="2">
        <v>7</v>
      </c>
      <c r="K533" t="s">
        <v>16</v>
      </c>
      <c r="L533" s="2">
        <v>4</v>
      </c>
      <c r="M533" t="s">
        <v>20</v>
      </c>
      <c r="N533" s="2">
        <v>3</v>
      </c>
    </row>
    <row r="534" spans="1:14">
      <c r="A534" t="s">
        <v>564</v>
      </c>
      <c r="B534" s="1" t="str">
        <f>"53-5022"</f>
        <v>53-5022</v>
      </c>
      <c r="C534" s="1">
        <v>3.1</v>
      </c>
      <c r="D534" s="1">
        <v>3.1</v>
      </c>
      <c r="E534" s="1">
        <v>0</v>
      </c>
      <c r="F534" s="1">
        <v>-0.2</v>
      </c>
      <c r="G534" s="1">
        <v>0.3</v>
      </c>
      <c r="H534" s="2">
        <v>38670</v>
      </c>
      <c r="I534" t="s">
        <v>50</v>
      </c>
      <c r="J534" s="2">
        <v>5</v>
      </c>
      <c r="K534" t="s">
        <v>32</v>
      </c>
      <c r="L534" s="2">
        <v>2</v>
      </c>
      <c r="M534" t="s">
        <v>16</v>
      </c>
      <c r="N534" s="2">
        <v>6</v>
      </c>
    </row>
    <row r="535" spans="1:14">
      <c r="A535" t="s">
        <v>565</v>
      </c>
      <c r="B535" s="1" t="str">
        <f>"49-3052"</f>
        <v>49-3052</v>
      </c>
      <c r="C535" s="1">
        <v>16.6</v>
      </c>
      <c r="D535" s="1">
        <v>17.3</v>
      </c>
      <c r="E535" s="1">
        <v>0.7</v>
      </c>
      <c r="F535" s="1">
        <v>4.3</v>
      </c>
      <c r="G535" s="1">
        <v>1.8</v>
      </c>
      <c r="H535" s="2">
        <v>38170</v>
      </c>
      <c r="I535" t="s">
        <v>50</v>
      </c>
      <c r="J535" s="2">
        <v>5</v>
      </c>
      <c r="K535" t="s">
        <v>16</v>
      </c>
      <c r="L535" s="2">
        <v>4</v>
      </c>
      <c r="M535" t="s">
        <v>30</v>
      </c>
      <c r="N535" s="2">
        <v>5</v>
      </c>
    </row>
    <row r="536" spans="1:14">
      <c r="A536" t="s">
        <v>566</v>
      </c>
      <c r="B536" s="1" t="str">
        <f>"51-4081"</f>
        <v>51-4081</v>
      </c>
      <c r="C536" s="1">
        <v>139.5</v>
      </c>
      <c r="D536" s="1">
        <v>143.4</v>
      </c>
      <c r="E536" s="1">
        <v>4</v>
      </c>
      <c r="F536" s="1">
        <v>2.8</v>
      </c>
      <c r="G536" s="1">
        <v>15.3</v>
      </c>
      <c r="H536" s="2">
        <v>37630</v>
      </c>
      <c r="I536" t="s">
        <v>25</v>
      </c>
      <c r="J536" s="2">
        <v>7</v>
      </c>
      <c r="K536" t="s">
        <v>16</v>
      </c>
      <c r="L536" s="2">
        <v>4</v>
      </c>
      <c r="M536" t="s">
        <v>26</v>
      </c>
      <c r="N536" s="2">
        <v>4</v>
      </c>
    </row>
    <row r="537" spans="1:14">
      <c r="A537" t="s">
        <v>567</v>
      </c>
      <c r="B537" s="1" t="str">
        <f>"25-4013"</f>
        <v>25-4013</v>
      </c>
      <c r="C537" s="1">
        <v>12.7</v>
      </c>
      <c r="D537" s="1">
        <v>14.3</v>
      </c>
      <c r="E537" s="1">
        <v>1.6</v>
      </c>
      <c r="F537" s="1">
        <v>12.7</v>
      </c>
      <c r="G537" s="1">
        <v>1.8</v>
      </c>
      <c r="H537" s="2">
        <v>47630</v>
      </c>
      <c r="I537" t="s">
        <v>15</v>
      </c>
      <c r="J537" s="2">
        <v>3</v>
      </c>
      <c r="K537" t="s">
        <v>16</v>
      </c>
      <c r="L537" s="2">
        <v>4</v>
      </c>
      <c r="M537" t="s">
        <v>16</v>
      </c>
      <c r="N537" s="2">
        <v>6</v>
      </c>
    </row>
    <row r="538" spans="1:14">
      <c r="A538" t="s">
        <v>568</v>
      </c>
      <c r="B538" s="1" t="str">
        <f>"27-2041"</f>
        <v>27-2041</v>
      </c>
      <c r="C538" s="1">
        <v>55.8</v>
      </c>
      <c r="D538" s="1">
        <v>58.5</v>
      </c>
      <c r="E538" s="1">
        <v>2.7</v>
      </c>
      <c r="F538" s="1">
        <v>4.9</v>
      </c>
      <c r="G538" s="1">
        <v>5.8</v>
      </c>
      <c r="H538" s="2">
        <v>49130</v>
      </c>
      <c r="I538" t="s">
        <v>15</v>
      </c>
      <c r="J538" s="2">
        <v>3</v>
      </c>
      <c r="K538" t="s">
        <v>32</v>
      </c>
      <c r="L538" s="2">
        <v>2</v>
      </c>
      <c r="M538" t="s">
        <v>16</v>
      </c>
      <c r="N538" s="2">
        <v>6</v>
      </c>
    </row>
    <row r="539" spans="1:14">
      <c r="A539" t="s">
        <v>569</v>
      </c>
      <c r="B539" s="1" t="str">
        <f>"49-9063"</f>
        <v>49-9063</v>
      </c>
      <c r="C539" s="1">
        <v>6.4</v>
      </c>
      <c r="D539" s="1">
        <v>5.9</v>
      </c>
      <c r="E539" s="1">
        <v>-0.5</v>
      </c>
      <c r="F539" s="1">
        <v>-7.1</v>
      </c>
      <c r="G539" s="1">
        <v>0.6</v>
      </c>
      <c r="H539" s="2">
        <v>37160</v>
      </c>
      <c r="I539" t="s">
        <v>25</v>
      </c>
      <c r="J539" s="2">
        <v>7</v>
      </c>
      <c r="K539" t="s">
        <v>16</v>
      </c>
      <c r="L539" s="2">
        <v>4</v>
      </c>
      <c r="M539" t="s">
        <v>104</v>
      </c>
      <c r="N539" s="2">
        <v>2</v>
      </c>
    </row>
    <row r="540" spans="1:14">
      <c r="A540" t="s">
        <v>570</v>
      </c>
      <c r="B540" s="1" t="str">
        <f>"27-2042"</f>
        <v>27-2042</v>
      </c>
      <c r="C540" s="1">
        <v>151.3</v>
      </c>
      <c r="D540" s="1">
        <v>157.7</v>
      </c>
      <c r="E540" s="1">
        <v>6.4</v>
      </c>
      <c r="F540" s="1">
        <v>4.2</v>
      </c>
      <c r="G540" s="1">
        <v>20.8</v>
      </c>
      <c r="H540" s="2" t="s">
        <v>18</v>
      </c>
      <c r="I540" t="s">
        <v>42</v>
      </c>
      <c r="J540" s="2">
        <v>8</v>
      </c>
      <c r="K540" t="s">
        <v>16</v>
      </c>
      <c r="L540" s="2">
        <v>4</v>
      </c>
      <c r="M540" t="s">
        <v>20</v>
      </c>
      <c r="N540" s="2">
        <v>3</v>
      </c>
    </row>
    <row r="541" spans="1:14">
      <c r="A541" t="s">
        <v>571</v>
      </c>
      <c r="B541" s="1" t="str">
        <f>"11-9121"</f>
        <v>11-9121</v>
      </c>
      <c r="C541" s="1">
        <v>78.8</v>
      </c>
      <c r="D541" s="1">
        <v>83.4</v>
      </c>
      <c r="E541" s="1">
        <v>4.6</v>
      </c>
      <c r="F541" s="1">
        <v>5.9</v>
      </c>
      <c r="G541" s="1">
        <v>6.9</v>
      </c>
      <c r="H541" s="2">
        <v>137900</v>
      </c>
      <c r="I541" t="s">
        <v>15</v>
      </c>
      <c r="J541" s="2">
        <v>3</v>
      </c>
      <c r="K541" t="s">
        <v>29</v>
      </c>
      <c r="L541" s="2">
        <v>1</v>
      </c>
      <c r="M541" t="s">
        <v>16</v>
      </c>
      <c r="N541" s="2">
        <v>6</v>
      </c>
    </row>
    <row r="542" spans="1:14">
      <c r="A542" t="s">
        <v>572</v>
      </c>
      <c r="B542" s="1" t="str">
        <f>"15-1244"</f>
        <v>15-1244</v>
      </c>
      <c r="C542" s="1">
        <v>333.2</v>
      </c>
      <c r="D542" s="1">
        <v>344.5</v>
      </c>
      <c r="E542" s="1">
        <v>11.3</v>
      </c>
      <c r="F542" s="1">
        <v>3.4</v>
      </c>
      <c r="G542" s="1">
        <v>23.9</v>
      </c>
      <c r="H542" s="2">
        <v>80600</v>
      </c>
      <c r="I542" t="s">
        <v>15</v>
      </c>
      <c r="J542" s="2">
        <v>3</v>
      </c>
      <c r="K542" t="s">
        <v>16</v>
      </c>
      <c r="L542" s="2">
        <v>4</v>
      </c>
      <c r="M542" t="s">
        <v>16</v>
      </c>
      <c r="N542" s="2">
        <v>6</v>
      </c>
    </row>
    <row r="543" spans="1:14">
      <c r="A543" t="s">
        <v>573</v>
      </c>
      <c r="B543" s="1" t="str">
        <f>"29-1217"</f>
        <v>29-1217</v>
      </c>
      <c r="C543" s="1">
        <v>7.8</v>
      </c>
      <c r="D543" s="1">
        <v>8</v>
      </c>
      <c r="E543" s="1">
        <v>0.2</v>
      </c>
      <c r="F543" s="1">
        <v>3</v>
      </c>
      <c r="G543" s="1">
        <v>0.2</v>
      </c>
      <c r="H543" s="2" t="s">
        <v>58</v>
      </c>
      <c r="I543" t="s">
        <v>28</v>
      </c>
      <c r="J543" s="2">
        <v>1</v>
      </c>
      <c r="K543" t="s">
        <v>16</v>
      </c>
      <c r="L543" s="2">
        <v>4</v>
      </c>
      <c r="M543" t="s">
        <v>59</v>
      </c>
      <c r="N543" s="2">
        <v>1</v>
      </c>
    </row>
    <row r="544" spans="1:14">
      <c r="A544" t="s">
        <v>574</v>
      </c>
      <c r="B544" s="1" t="str">
        <f>"43-4141"</f>
        <v>43-4141</v>
      </c>
      <c r="C544" s="1">
        <v>41.7</v>
      </c>
      <c r="D544" s="1">
        <v>36.9</v>
      </c>
      <c r="E544" s="1">
        <v>-4.8</v>
      </c>
      <c r="F544" s="1">
        <v>-11.6</v>
      </c>
      <c r="G544" s="1">
        <v>3.9</v>
      </c>
      <c r="H544" s="2">
        <v>37840</v>
      </c>
      <c r="I544" t="s">
        <v>25</v>
      </c>
      <c r="J544" s="2">
        <v>7</v>
      </c>
      <c r="K544" t="s">
        <v>16</v>
      </c>
      <c r="L544" s="2">
        <v>4</v>
      </c>
      <c r="M544" t="s">
        <v>26</v>
      </c>
      <c r="N544" s="2">
        <v>4</v>
      </c>
    </row>
    <row r="545" spans="1:14">
      <c r="A545" t="s">
        <v>575</v>
      </c>
      <c r="B545" s="1" t="str">
        <f>"27-3023"</f>
        <v>27-3023</v>
      </c>
      <c r="C545" s="1">
        <v>47.1</v>
      </c>
      <c r="D545" s="1">
        <v>43.1</v>
      </c>
      <c r="E545" s="1">
        <v>-4.1</v>
      </c>
      <c r="F545" s="1">
        <v>-8.6</v>
      </c>
      <c r="G545" s="1">
        <v>4.9</v>
      </c>
      <c r="H545" s="2">
        <v>48370</v>
      </c>
      <c r="I545" t="s">
        <v>15</v>
      </c>
      <c r="J545" s="2">
        <v>3</v>
      </c>
      <c r="K545" t="s">
        <v>16</v>
      </c>
      <c r="L545" s="2">
        <v>4</v>
      </c>
      <c r="M545" t="s">
        <v>16</v>
      </c>
      <c r="N545" s="2">
        <v>6</v>
      </c>
    </row>
    <row r="546" spans="1:14">
      <c r="A546" t="s">
        <v>576</v>
      </c>
      <c r="B546" s="1" t="str">
        <f>"17-2161"</f>
        <v>17-2161</v>
      </c>
      <c r="C546" s="1">
        <v>13.9</v>
      </c>
      <c r="D546" s="1">
        <v>12.4</v>
      </c>
      <c r="E546" s="1">
        <v>-1.5</v>
      </c>
      <c r="F546" s="1">
        <v>-11.1</v>
      </c>
      <c r="G546" s="1">
        <v>0.7</v>
      </c>
      <c r="H546" s="2">
        <v>120380</v>
      </c>
      <c r="I546" t="s">
        <v>15</v>
      </c>
      <c r="J546" s="2">
        <v>3</v>
      </c>
      <c r="K546" t="s">
        <v>16</v>
      </c>
      <c r="L546" s="2">
        <v>4</v>
      </c>
      <c r="M546" t="s">
        <v>16</v>
      </c>
      <c r="N546" s="2">
        <v>6</v>
      </c>
    </row>
    <row r="547" spans="1:14">
      <c r="A547" t="s">
        <v>577</v>
      </c>
      <c r="B547" s="1" t="str">
        <f>"29-2033"</f>
        <v>29-2033</v>
      </c>
      <c r="C547" s="1">
        <v>18.9</v>
      </c>
      <c r="D547" s="1">
        <v>19.2</v>
      </c>
      <c r="E547" s="1">
        <v>0.3</v>
      </c>
      <c r="F547" s="1">
        <v>1.7</v>
      </c>
      <c r="G547" s="1">
        <v>1</v>
      </c>
      <c r="H547" s="2">
        <v>78760</v>
      </c>
      <c r="I547" t="s">
        <v>37</v>
      </c>
      <c r="J547" s="2">
        <v>4</v>
      </c>
      <c r="K547" t="s">
        <v>16</v>
      </c>
      <c r="L547" s="2">
        <v>4</v>
      </c>
      <c r="M547" t="s">
        <v>16</v>
      </c>
      <c r="N547" s="2">
        <v>6</v>
      </c>
    </row>
    <row r="548" spans="1:14">
      <c r="A548" t="s">
        <v>578</v>
      </c>
      <c r="B548" s="1" t="str">
        <f>"51-8011"</f>
        <v>51-8011</v>
      </c>
      <c r="C548" s="1">
        <v>4.8</v>
      </c>
      <c r="D548" s="1">
        <v>3.5</v>
      </c>
      <c r="E548" s="1">
        <v>-1.3</v>
      </c>
      <c r="F548" s="1">
        <v>-26.8</v>
      </c>
      <c r="G548" s="1">
        <v>0.3</v>
      </c>
      <c r="H548" s="2">
        <v>104260</v>
      </c>
      <c r="I548" t="s">
        <v>25</v>
      </c>
      <c r="J548" s="2">
        <v>7</v>
      </c>
      <c r="K548" t="s">
        <v>16</v>
      </c>
      <c r="L548" s="2">
        <v>4</v>
      </c>
      <c r="M548" t="s">
        <v>20</v>
      </c>
      <c r="N548" s="2">
        <v>3</v>
      </c>
    </row>
    <row r="549" spans="1:14">
      <c r="A549" t="s">
        <v>579</v>
      </c>
      <c r="B549" s="1" t="str">
        <f>"19-4051"</f>
        <v>19-4051</v>
      </c>
      <c r="C549" s="1">
        <v>5.4</v>
      </c>
      <c r="D549" s="1">
        <v>4.5</v>
      </c>
      <c r="E549" s="1">
        <v>-0.9</v>
      </c>
      <c r="F549" s="1">
        <v>-16.6</v>
      </c>
      <c r="G549" s="1">
        <v>0.4</v>
      </c>
      <c r="H549" s="2">
        <v>99340</v>
      </c>
      <c r="I549" t="s">
        <v>37</v>
      </c>
      <c r="J549" s="2">
        <v>4</v>
      </c>
      <c r="K549" t="s">
        <v>16</v>
      </c>
      <c r="L549" s="2">
        <v>4</v>
      </c>
      <c r="M549" t="s">
        <v>26</v>
      </c>
      <c r="N549" s="2">
        <v>4</v>
      </c>
    </row>
    <row r="550" spans="1:14">
      <c r="A550" t="s">
        <v>580</v>
      </c>
      <c r="B550" s="1" t="str">
        <f>"29-1151"</f>
        <v>29-1151</v>
      </c>
      <c r="C550" s="1">
        <v>45.2</v>
      </c>
      <c r="D550" s="1">
        <v>50.5</v>
      </c>
      <c r="E550" s="1">
        <v>5.3</v>
      </c>
      <c r="F550" s="1">
        <v>11.8</v>
      </c>
      <c r="G550" s="1">
        <v>2.9</v>
      </c>
      <c r="H550" s="2">
        <v>195610</v>
      </c>
      <c r="I550" t="s">
        <v>23</v>
      </c>
      <c r="J550" s="2">
        <v>2</v>
      </c>
      <c r="K550" t="s">
        <v>16</v>
      </c>
      <c r="L550" s="2">
        <v>4</v>
      </c>
      <c r="M550" t="s">
        <v>16</v>
      </c>
      <c r="N550" s="2">
        <v>6</v>
      </c>
    </row>
    <row r="551" spans="1:14">
      <c r="A551" t="s">
        <v>581</v>
      </c>
      <c r="B551" s="1" t="str">
        <f>"29-1161"</f>
        <v>29-1161</v>
      </c>
      <c r="C551" s="1">
        <v>8.1</v>
      </c>
      <c r="D551" s="1">
        <v>8.7</v>
      </c>
      <c r="E551" s="1">
        <v>0.6</v>
      </c>
      <c r="F551" s="1">
        <v>7.5</v>
      </c>
      <c r="G551" s="1">
        <v>0.5</v>
      </c>
      <c r="H551" s="2">
        <v>112830</v>
      </c>
      <c r="I551" t="s">
        <v>23</v>
      </c>
      <c r="J551" s="2">
        <v>2</v>
      </c>
      <c r="K551" t="s">
        <v>16</v>
      </c>
      <c r="L551" s="2">
        <v>4</v>
      </c>
      <c r="M551" t="s">
        <v>16</v>
      </c>
      <c r="N551" s="2">
        <v>6</v>
      </c>
    </row>
    <row r="552" spans="1:14">
      <c r="A552" t="s">
        <v>582</v>
      </c>
      <c r="B552" s="1" t="str">
        <f>"29-1171"</f>
        <v>29-1171</v>
      </c>
      <c r="C552" s="1">
        <v>246.7</v>
      </c>
      <c r="D552" s="1">
        <v>359.4</v>
      </c>
      <c r="E552" s="1">
        <v>112.7</v>
      </c>
      <c r="F552" s="1">
        <v>45.7</v>
      </c>
      <c r="G552" s="1">
        <v>26.8</v>
      </c>
      <c r="H552" s="2">
        <v>120680</v>
      </c>
      <c r="I552" t="s">
        <v>23</v>
      </c>
      <c r="J552" s="2">
        <v>2</v>
      </c>
      <c r="K552" t="s">
        <v>16</v>
      </c>
      <c r="L552" s="2">
        <v>4</v>
      </c>
      <c r="M552" t="s">
        <v>16</v>
      </c>
      <c r="N552" s="2">
        <v>6</v>
      </c>
    </row>
    <row r="553" spans="1:14">
      <c r="A553" t="s">
        <v>583</v>
      </c>
      <c r="B553" s="1" t="str">
        <f>"31-1131"</f>
        <v>31-1131</v>
      </c>
      <c r="C553" s="1">
        <v>1343.7</v>
      </c>
      <c r="D553" s="1">
        <v>1406.4</v>
      </c>
      <c r="E553" s="1">
        <v>62.7</v>
      </c>
      <c r="F553" s="1">
        <v>4.7</v>
      </c>
      <c r="G553" s="1">
        <v>212.7</v>
      </c>
      <c r="H553" s="2">
        <v>30310</v>
      </c>
      <c r="I553" t="s">
        <v>50</v>
      </c>
      <c r="J553" s="2">
        <v>5</v>
      </c>
      <c r="K553" t="s">
        <v>16</v>
      </c>
      <c r="L553" s="2">
        <v>4</v>
      </c>
      <c r="M553" t="s">
        <v>16</v>
      </c>
      <c r="N553" s="2">
        <v>6</v>
      </c>
    </row>
    <row r="554" spans="1:14">
      <c r="A554" t="s">
        <v>584</v>
      </c>
      <c r="B554" s="1" t="str">
        <f>"25-1072"</f>
        <v>25-1072</v>
      </c>
      <c r="C554" s="1">
        <v>87</v>
      </c>
      <c r="D554" s="1">
        <v>105.7</v>
      </c>
      <c r="E554" s="1">
        <v>18.7</v>
      </c>
      <c r="F554" s="1">
        <v>21.5</v>
      </c>
      <c r="G554" s="1">
        <v>9.9</v>
      </c>
      <c r="H554" s="2">
        <v>77440</v>
      </c>
      <c r="I554" t="s">
        <v>28</v>
      </c>
      <c r="J554" s="2">
        <v>1</v>
      </c>
      <c r="K554" t="s">
        <v>32</v>
      </c>
      <c r="L554" s="2">
        <v>2</v>
      </c>
      <c r="M554" t="s">
        <v>16</v>
      </c>
      <c r="N554" s="2">
        <v>6</v>
      </c>
    </row>
    <row r="555" spans="1:14">
      <c r="A555" t="s">
        <v>585</v>
      </c>
      <c r="B555" s="1" t="str">
        <f>"29-1218"</f>
        <v>29-1218</v>
      </c>
      <c r="C555" s="1">
        <v>23.6</v>
      </c>
      <c r="D555" s="1">
        <v>24</v>
      </c>
      <c r="E555" s="1">
        <v>0.4</v>
      </c>
      <c r="F555" s="1">
        <v>1.7</v>
      </c>
      <c r="G555" s="1">
        <v>0.7</v>
      </c>
      <c r="H555" s="2" t="s">
        <v>58</v>
      </c>
      <c r="I555" t="s">
        <v>28</v>
      </c>
      <c r="J555" s="2">
        <v>1</v>
      </c>
      <c r="K555" t="s">
        <v>16</v>
      </c>
      <c r="L555" s="2">
        <v>4</v>
      </c>
      <c r="M555" t="s">
        <v>59</v>
      </c>
      <c r="N555" s="2">
        <v>1</v>
      </c>
    </row>
    <row r="556" spans="1:14">
      <c r="A556" t="s">
        <v>586</v>
      </c>
      <c r="B556" s="1" t="str">
        <f>"19-5011"</f>
        <v>19-5011</v>
      </c>
      <c r="C556" s="1">
        <v>109.9</v>
      </c>
      <c r="D556" s="1">
        <v>114.7</v>
      </c>
      <c r="E556" s="1">
        <v>4.9</v>
      </c>
      <c r="F556" s="1">
        <v>4.5</v>
      </c>
      <c r="G556" s="1">
        <v>12</v>
      </c>
      <c r="H556" s="2">
        <v>77560</v>
      </c>
      <c r="I556" t="s">
        <v>15</v>
      </c>
      <c r="J556" s="2">
        <v>3</v>
      </c>
      <c r="K556" t="s">
        <v>16</v>
      </c>
      <c r="L556" s="2">
        <v>4</v>
      </c>
      <c r="M556" t="s">
        <v>16</v>
      </c>
      <c r="N556" s="2">
        <v>6</v>
      </c>
    </row>
    <row r="557" spans="1:14">
      <c r="A557" t="s">
        <v>587</v>
      </c>
      <c r="B557" s="1" t="str">
        <f>"19-5012"</f>
        <v>19-5012</v>
      </c>
      <c r="C557" s="1">
        <v>22.5</v>
      </c>
      <c r="D557" s="1">
        <v>23.9</v>
      </c>
      <c r="E557" s="1">
        <v>1.4</v>
      </c>
      <c r="F557" s="1">
        <v>6.1</v>
      </c>
      <c r="G557" s="1">
        <v>2.5</v>
      </c>
      <c r="H557" s="2">
        <v>51120</v>
      </c>
      <c r="I557" t="s">
        <v>25</v>
      </c>
      <c r="J557" s="2">
        <v>7</v>
      </c>
      <c r="K557" t="s">
        <v>16</v>
      </c>
      <c r="L557" s="2">
        <v>4</v>
      </c>
      <c r="M557" t="s">
        <v>26</v>
      </c>
      <c r="N557" s="2">
        <v>4</v>
      </c>
    </row>
    <row r="558" spans="1:14">
      <c r="A558" t="s">
        <v>588</v>
      </c>
      <c r="B558" s="1" t="str">
        <f>"29-1122"</f>
        <v>29-1122</v>
      </c>
      <c r="C558" s="1">
        <v>133.9</v>
      </c>
      <c r="D558" s="1">
        <v>152.5</v>
      </c>
      <c r="E558" s="1">
        <v>18.6</v>
      </c>
      <c r="F558" s="1">
        <v>13.9</v>
      </c>
      <c r="G558" s="1">
        <v>10.1</v>
      </c>
      <c r="H558" s="2">
        <v>85570</v>
      </c>
      <c r="I558" t="s">
        <v>23</v>
      </c>
      <c r="J558" s="2">
        <v>2</v>
      </c>
      <c r="K558" t="s">
        <v>16</v>
      </c>
      <c r="L558" s="2">
        <v>4</v>
      </c>
      <c r="M558" t="s">
        <v>16</v>
      </c>
      <c r="N558" s="2">
        <v>6</v>
      </c>
    </row>
    <row r="559" spans="1:14">
      <c r="A559" t="s">
        <v>589</v>
      </c>
      <c r="B559" s="1" t="str">
        <f>"31-2012"</f>
        <v>31-2012</v>
      </c>
      <c r="C559" s="1">
        <v>3.5</v>
      </c>
      <c r="D559" s="1">
        <v>4</v>
      </c>
      <c r="E559" s="1">
        <v>0.5</v>
      </c>
      <c r="F559" s="1">
        <v>13.6</v>
      </c>
      <c r="G559" s="1">
        <v>0.6</v>
      </c>
      <c r="H559" s="2">
        <v>33560</v>
      </c>
      <c r="I559" t="s">
        <v>25</v>
      </c>
      <c r="J559" s="2">
        <v>7</v>
      </c>
      <c r="K559" t="s">
        <v>16</v>
      </c>
      <c r="L559" s="2">
        <v>4</v>
      </c>
      <c r="M559" t="s">
        <v>30</v>
      </c>
      <c r="N559" s="2">
        <v>5</v>
      </c>
    </row>
    <row r="560" spans="1:14">
      <c r="A560" t="s">
        <v>590</v>
      </c>
      <c r="B560" s="1" t="str">
        <f>"31-2011"</f>
        <v>31-2011</v>
      </c>
      <c r="C560" s="1">
        <v>43.4</v>
      </c>
      <c r="D560" s="1">
        <v>54.5</v>
      </c>
      <c r="E560" s="1">
        <v>11</v>
      </c>
      <c r="F560" s="1">
        <v>25.4</v>
      </c>
      <c r="G560" s="1">
        <v>8.7</v>
      </c>
      <c r="H560" s="2">
        <v>61730</v>
      </c>
      <c r="I560" t="s">
        <v>37</v>
      </c>
      <c r="J560" s="2">
        <v>4</v>
      </c>
      <c r="K560" t="s">
        <v>16</v>
      </c>
      <c r="L560" s="2">
        <v>4</v>
      </c>
      <c r="M560" t="s">
        <v>16</v>
      </c>
      <c r="N560" s="2">
        <v>6</v>
      </c>
    </row>
    <row r="561" spans="1:14">
      <c r="A561" t="s">
        <v>591</v>
      </c>
      <c r="B561" s="1" t="str">
        <f>"43-9199"</f>
        <v>43-9199</v>
      </c>
      <c r="C561" s="1">
        <v>176.7</v>
      </c>
      <c r="D561" s="1">
        <v>164.8</v>
      </c>
      <c r="E561" s="1">
        <v>-11.9</v>
      </c>
      <c r="F561" s="1">
        <v>-6.7</v>
      </c>
      <c r="G561" s="1">
        <v>19</v>
      </c>
      <c r="H561" s="2">
        <v>37900</v>
      </c>
      <c r="I561" t="s">
        <v>25</v>
      </c>
      <c r="J561" s="2">
        <v>7</v>
      </c>
      <c r="K561" t="s">
        <v>16</v>
      </c>
      <c r="L561" s="2">
        <v>4</v>
      </c>
      <c r="M561" t="s">
        <v>30</v>
      </c>
      <c r="N561" s="2">
        <v>5</v>
      </c>
    </row>
    <row r="562" spans="1:14">
      <c r="A562" t="s">
        <v>592</v>
      </c>
      <c r="B562" s="1" t="str">
        <f>"43-9061"</f>
        <v>43-9061</v>
      </c>
      <c r="C562" s="1">
        <v>2751.8</v>
      </c>
      <c r="D562" s="1">
        <v>2621.1</v>
      </c>
      <c r="E562" s="1">
        <v>-130.8</v>
      </c>
      <c r="F562" s="1">
        <v>-4.8</v>
      </c>
      <c r="G562" s="1">
        <v>325.4</v>
      </c>
      <c r="H562" s="2">
        <v>37030</v>
      </c>
      <c r="I562" t="s">
        <v>25</v>
      </c>
      <c r="J562" s="2">
        <v>7</v>
      </c>
      <c r="K562" t="s">
        <v>16</v>
      </c>
      <c r="L562" s="2">
        <v>4</v>
      </c>
      <c r="M562" t="s">
        <v>30</v>
      </c>
      <c r="N562" s="2">
        <v>5</v>
      </c>
    </row>
    <row r="563" spans="1:14">
      <c r="A563" t="s">
        <v>593</v>
      </c>
      <c r="B563" s="1" t="str">
        <f>"43-9071"</f>
        <v>43-9071</v>
      </c>
      <c r="C563" s="1">
        <v>34.3</v>
      </c>
      <c r="D563" s="1">
        <v>29.9</v>
      </c>
      <c r="E563" s="1">
        <v>-4.4</v>
      </c>
      <c r="F563" s="1">
        <v>-12.8</v>
      </c>
      <c r="G563" s="1">
        <v>4.3</v>
      </c>
      <c r="H563" s="2">
        <v>36630</v>
      </c>
      <c r="I563" t="s">
        <v>25</v>
      </c>
      <c r="J563" s="2">
        <v>7</v>
      </c>
      <c r="K563" t="s">
        <v>16</v>
      </c>
      <c r="L563" s="2">
        <v>4</v>
      </c>
      <c r="M563" t="s">
        <v>30</v>
      </c>
      <c r="N563" s="2">
        <v>5</v>
      </c>
    </row>
    <row r="564" spans="1:14">
      <c r="A564" t="s">
        <v>594</v>
      </c>
      <c r="B564" s="1" t="str">
        <f>"47-2073"</f>
        <v>47-2073</v>
      </c>
      <c r="C564" s="1">
        <v>418</v>
      </c>
      <c r="D564" s="1">
        <v>437.3</v>
      </c>
      <c r="E564" s="1">
        <v>19.3</v>
      </c>
      <c r="F564" s="1">
        <v>4.6</v>
      </c>
      <c r="G564" s="1">
        <v>45.4</v>
      </c>
      <c r="H564" s="2">
        <v>48360</v>
      </c>
      <c r="I564" t="s">
        <v>25</v>
      </c>
      <c r="J564" s="2">
        <v>7</v>
      </c>
      <c r="K564" t="s">
        <v>16</v>
      </c>
      <c r="L564" s="2">
        <v>4</v>
      </c>
      <c r="M564" t="s">
        <v>26</v>
      </c>
      <c r="N564" s="2">
        <v>4</v>
      </c>
    </row>
    <row r="565" spans="1:14">
      <c r="A565" t="s">
        <v>595</v>
      </c>
      <c r="B565" s="1" t="str">
        <f>"15-2031"</f>
        <v>15-2031</v>
      </c>
      <c r="C565" s="1">
        <v>104.2</v>
      </c>
      <c r="D565" s="1">
        <v>128.3</v>
      </c>
      <c r="E565" s="1">
        <v>24.2</v>
      </c>
      <c r="F565" s="1">
        <v>23.2</v>
      </c>
      <c r="G565" s="1">
        <v>10.3</v>
      </c>
      <c r="H565" s="2">
        <v>82360</v>
      </c>
      <c r="I565" t="s">
        <v>15</v>
      </c>
      <c r="J565" s="2">
        <v>3</v>
      </c>
      <c r="K565" t="s">
        <v>16</v>
      </c>
      <c r="L565" s="2">
        <v>4</v>
      </c>
      <c r="M565" t="s">
        <v>16</v>
      </c>
      <c r="N565" s="2">
        <v>6</v>
      </c>
    </row>
    <row r="566" spans="1:14">
      <c r="A566" t="s">
        <v>596</v>
      </c>
      <c r="B566" s="1" t="str">
        <f>"51-9083"</f>
        <v>51-9083</v>
      </c>
      <c r="C566" s="1">
        <v>20.2</v>
      </c>
      <c r="D566" s="1">
        <v>20.9</v>
      </c>
      <c r="E566" s="1">
        <v>0.7</v>
      </c>
      <c r="F566" s="1">
        <v>3.7</v>
      </c>
      <c r="G566" s="1">
        <v>2.8</v>
      </c>
      <c r="H566" s="2">
        <v>37270</v>
      </c>
      <c r="I566" t="s">
        <v>25</v>
      </c>
      <c r="J566" s="2">
        <v>7</v>
      </c>
      <c r="K566" t="s">
        <v>16</v>
      </c>
      <c r="L566" s="2">
        <v>4</v>
      </c>
      <c r="M566" t="s">
        <v>26</v>
      </c>
      <c r="N566" s="2">
        <v>4</v>
      </c>
    </row>
    <row r="567" spans="1:14">
      <c r="A567" t="s">
        <v>597</v>
      </c>
      <c r="B567" s="1" t="str">
        <f>"29-2057"</f>
        <v>29-2057</v>
      </c>
      <c r="C567" s="1">
        <v>67.2</v>
      </c>
      <c r="D567" s="1">
        <v>77.1</v>
      </c>
      <c r="E567" s="1">
        <v>9.9</v>
      </c>
      <c r="F567" s="1">
        <v>14.7</v>
      </c>
      <c r="G567" s="1">
        <v>8.7</v>
      </c>
      <c r="H567" s="2">
        <v>37180</v>
      </c>
      <c r="I567" t="s">
        <v>50</v>
      </c>
      <c r="J567" s="2">
        <v>5</v>
      </c>
      <c r="K567" t="s">
        <v>16</v>
      </c>
      <c r="L567" s="2">
        <v>4</v>
      </c>
      <c r="M567" t="s">
        <v>16</v>
      </c>
      <c r="N567" s="2">
        <v>6</v>
      </c>
    </row>
    <row r="568" spans="1:14">
      <c r="A568" t="s">
        <v>598</v>
      </c>
      <c r="B568" s="1" t="str">
        <f>"29-1241"</f>
        <v>29-1241</v>
      </c>
      <c r="C568" s="1">
        <v>12</v>
      </c>
      <c r="D568" s="1">
        <v>12.8</v>
      </c>
      <c r="E568" s="1">
        <v>0.8</v>
      </c>
      <c r="F568" s="1">
        <v>6.4</v>
      </c>
      <c r="G568" s="1">
        <v>0.4</v>
      </c>
      <c r="H568" s="2" t="s">
        <v>58</v>
      </c>
      <c r="I568" t="s">
        <v>28</v>
      </c>
      <c r="J568" s="2">
        <v>1</v>
      </c>
      <c r="K568" t="s">
        <v>16</v>
      </c>
      <c r="L568" s="2">
        <v>4</v>
      </c>
      <c r="M568" t="s">
        <v>59</v>
      </c>
      <c r="N568" s="2">
        <v>1</v>
      </c>
    </row>
    <row r="569" spans="1:14">
      <c r="A569" t="s">
        <v>599</v>
      </c>
      <c r="B569" s="1" t="str">
        <f>"29-2081"</f>
        <v>29-2081</v>
      </c>
      <c r="C569" s="1">
        <v>74.8</v>
      </c>
      <c r="D569" s="1">
        <v>77.5</v>
      </c>
      <c r="E569" s="1">
        <v>2.8</v>
      </c>
      <c r="F569" s="1">
        <v>3.7</v>
      </c>
      <c r="G569" s="1">
        <v>6.7</v>
      </c>
      <c r="H569" s="2">
        <v>37570</v>
      </c>
      <c r="I569" t="s">
        <v>25</v>
      </c>
      <c r="J569" s="2">
        <v>7</v>
      </c>
      <c r="K569" t="s">
        <v>16</v>
      </c>
      <c r="L569" s="2">
        <v>4</v>
      </c>
      <c r="M569" t="s">
        <v>20</v>
      </c>
      <c r="N569" s="2">
        <v>3</v>
      </c>
    </row>
    <row r="570" spans="1:14">
      <c r="A570" t="s">
        <v>600</v>
      </c>
      <c r="B570" s="1" t="str">
        <f>"29-1041"</f>
        <v>29-1041</v>
      </c>
      <c r="C570" s="1">
        <v>41.4</v>
      </c>
      <c r="D570" s="1">
        <v>45.4</v>
      </c>
      <c r="E570" s="1">
        <v>4</v>
      </c>
      <c r="F570" s="1">
        <v>9.6</v>
      </c>
      <c r="G570" s="1">
        <v>1.7</v>
      </c>
      <c r="H570" s="2">
        <v>124300</v>
      </c>
      <c r="I570" t="s">
        <v>28</v>
      </c>
      <c r="J570" s="2">
        <v>1</v>
      </c>
      <c r="K570" t="s">
        <v>16</v>
      </c>
      <c r="L570" s="2">
        <v>4</v>
      </c>
      <c r="M570" t="s">
        <v>16</v>
      </c>
      <c r="N570" s="2">
        <v>6</v>
      </c>
    </row>
    <row r="571" spans="1:14">
      <c r="A571" t="s">
        <v>601</v>
      </c>
      <c r="B571" s="1" t="str">
        <f>"29-1022"</f>
        <v>29-1022</v>
      </c>
      <c r="C571" s="1">
        <v>6.3</v>
      </c>
      <c r="D571" s="1">
        <v>6.6</v>
      </c>
      <c r="E571" s="1">
        <v>0.3</v>
      </c>
      <c r="F571" s="1">
        <v>4.6</v>
      </c>
      <c r="G571" s="1">
        <v>0.2</v>
      </c>
      <c r="H571" s="2" t="s">
        <v>58</v>
      </c>
      <c r="I571" t="s">
        <v>28</v>
      </c>
      <c r="J571" s="2">
        <v>1</v>
      </c>
      <c r="K571" t="s">
        <v>16</v>
      </c>
      <c r="L571" s="2">
        <v>4</v>
      </c>
      <c r="M571" t="s">
        <v>59</v>
      </c>
      <c r="N571" s="2">
        <v>1</v>
      </c>
    </row>
    <row r="572" spans="1:14">
      <c r="A572" t="s">
        <v>602</v>
      </c>
      <c r="B572" s="1" t="str">
        <f>"43-4151"</f>
        <v>43-4151</v>
      </c>
      <c r="C572" s="1">
        <v>143.9</v>
      </c>
      <c r="D572" s="1">
        <v>119.7</v>
      </c>
      <c r="E572" s="1">
        <v>-24.2</v>
      </c>
      <c r="F572" s="1">
        <v>-16.8</v>
      </c>
      <c r="G572" s="1">
        <v>13</v>
      </c>
      <c r="H572" s="2">
        <v>37920</v>
      </c>
      <c r="I572" t="s">
        <v>19</v>
      </c>
      <c r="J572" s="2">
        <v>6</v>
      </c>
      <c r="K572" t="s">
        <v>16</v>
      </c>
      <c r="L572" s="2">
        <v>4</v>
      </c>
      <c r="M572" t="s">
        <v>30</v>
      </c>
      <c r="N572" s="2">
        <v>5</v>
      </c>
    </row>
    <row r="573" spans="1:14">
      <c r="A573" t="s">
        <v>603</v>
      </c>
      <c r="B573" s="1" t="str">
        <f>"31-1132"</f>
        <v>31-1132</v>
      </c>
      <c r="C573" s="1">
        <v>46.2</v>
      </c>
      <c r="D573" s="1">
        <v>48.3</v>
      </c>
      <c r="E573" s="1">
        <v>2.2</v>
      </c>
      <c r="F573" s="1">
        <v>4.7</v>
      </c>
      <c r="G573" s="1">
        <v>7.5</v>
      </c>
      <c r="H573" s="2">
        <v>29990</v>
      </c>
      <c r="I573" t="s">
        <v>25</v>
      </c>
      <c r="J573" s="2">
        <v>7</v>
      </c>
      <c r="K573" t="s">
        <v>16</v>
      </c>
      <c r="L573" s="2">
        <v>4</v>
      </c>
      <c r="M573" t="s">
        <v>30</v>
      </c>
      <c r="N573" s="2">
        <v>5</v>
      </c>
    </row>
    <row r="574" spans="1:14">
      <c r="A574" t="s">
        <v>604</v>
      </c>
      <c r="B574" s="1" t="str">
        <f>"29-1023"</f>
        <v>29-1023</v>
      </c>
      <c r="C574" s="1">
        <v>6</v>
      </c>
      <c r="D574" s="1">
        <v>6.3</v>
      </c>
      <c r="E574" s="1">
        <v>0.3</v>
      </c>
      <c r="F574" s="1">
        <v>4.5</v>
      </c>
      <c r="G574" s="1">
        <v>0.2</v>
      </c>
      <c r="H574" s="2" t="s">
        <v>58</v>
      </c>
      <c r="I574" t="s">
        <v>28</v>
      </c>
      <c r="J574" s="2">
        <v>1</v>
      </c>
      <c r="K574" t="s">
        <v>16</v>
      </c>
      <c r="L574" s="2">
        <v>4</v>
      </c>
      <c r="M574" t="s">
        <v>59</v>
      </c>
      <c r="N574" s="2">
        <v>1</v>
      </c>
    </row>
    <row r="575" spans="1:14">
      <c r="A575" t="s">
        <v>605</v>
      </c>
      <c r="B575" s="1" t="str">
        <f>"29-1242"</f>
        <v>29-1242</v>
      </c>
      <c r="C575" s="1">
        <v>16.8</v>
      </c>
      <c r="D575" s="1">
        <v>17.3</v>
      </c>
      <c r="E575" s="1">
        <v>0.4</v>
      </c>
      <c r="F575" s="1">
        <v>2.7</v>
      </c>
      <c r="G575" s="1">
        <v>0.5</v>
      </c>
      <c r="H575" s="2" t="s">
        <v>58</v>
      </c>
      <c r="I575" t="s">
        <v>28</v>
      </c>
      <c r="J575" s="2">
        <v>1</v>
      </c>
      <c r="K575" t="s">
        <v>16</v>
      </c>
      <c r="L575" s="2">
        <v>4</v>
      </c>
      <c r="M575" t="s">
        <v>59</v>
      </c>
      <c r="N575" s="2">
        <v>1</v>
      </c>
    </row>
    <row r="576" spans="1:14">
      <c r="A576" t="s">
        <v>606</v>
      </c>
      <c r="B576" s="1" t="str">
        <f>"29-2091"</f>
        <v>29-2091</v>
      </c>
      <c r="C576" s="1">
        <v>11.1</v>
      </c>
      <c r="D576" s="1">
        <v>13</v>
      </c>
      <c r="E576" s="1">
        <v>1.9</v>
      </c>
      <c r="F576" s="1">
        <v>16.8</v>
      </c>
      <c r="G576" s="1">
        <v>1</v>
      </c>
      <c r="H576" s="2">
        <v>75440</v>
      </c>
      <c r="I576" t="s">
        <v>23</v>
      </c>
      <c r="J576" s="2">
        <v>2</v>
      </c>
      <c r="K576" t="s">
        <v>16</v>
      </c>
      <c r="L576" s="2">
        <v>4</v>
      </c>
      <c r="M576" t="s">
        <v>59</v>
      </c>
      <c r="N576" s="2">
        <v>1</v>
      </c>
    </row>
    <row r="577" spans="1:14">
      <c r="A577" t="s">
        <v>607</v>
      </c>
      <c r="B577" s="1" t="str">
        <f>"49-3053"</f>
        <v>49-3053</v>
      </c>
      <c r="C577" s="1">
        <v>37.5</v>
      </c>
      <c r="D577" s="1">
        <v>38.7</v>
      </c>
      <c r="E577" s="1">
        <v>1.2</v>
      </c>
      <c r="F577" s="1">
        <v>3.1</v>
      </c>
      <c r="G577" s="1">
        <v>4.1</v>
      </c>
      <c r="H577" s="2">
        <v>37540</v>
      </c>
      <c r="I577" t="s">
        <v>25</v>
      </c>
      <c r="J577" s="2">
        <v>7</v>
      </c>
      <c r="K577" t="s">
        <v>16</v>
      </c>
      <c r="L577" s="2">
        <v>4</v>
      </c>
      <c r="M577" t="s">
        <v>26</v>
      </c>
      <c r="N577" s="2">
        <v>4</v>
      </c>
    </row>
    <row r="578" spans="1:14">
      <c r="A578" t="s">
        <v>608</v>
      </c>
      <c r="B578" s="1" t="str">
        <f>"51-9111"</f>
        <v>51-9111</v>
      </c>
      <c r="C578" s="1">
        <v>362.6</v>
      </c>
      <c r="D578" s="1">
        <v>377.4</v>
      </c>
      <c r="E578" s="1">
        <v>14.8</v>
      </c>
      <c r="F578" s="1">
        <v>4.1</v>
      </c>
      <c r="G578" s="1">
        <v>43.8</v>
      </c>
      <c r="H578" s="2">
        <v>35960</v>
      </c>
      <c r="I578" t="s">
        <v>25</v>
      </c>
      <c r="J578" s="2">
        <v>7</v>
      </c>
      <c r="K578" t="s">
        <v>16</v>
      </c>
      <c r="L578" s="2">
        <v>4</v>
      </c>
      <c r="M578" t="s">
        <v>26</v>
      </c>
      <c r="N578" s="2">
        <v>4</v>
      </c>
    </row>
    <row r="579" spans="1:14">
      <c r="A579" t="s">
        <v>609</v>
      </c>
      <c r="B579" s="1" t="str">
        <f>"53-7064"</f>
        <v>53-7064</v>
      </c>
      <c r="C579" s="1">
        <v>602.3</v>
      </c>
      <c r="D579" s="1">
        <v>600.3</v>
      </c>
      <c r="E579" s="1">
        <v>-2</v>
      </c>
      <c r="F579" s="1">
        <v>-0.3</v>
      </c>
      <c r="G579" s="1">
        <v>92.4</v>
      </c>
      <c r="H579" s="2">
        <v>29940</v>
      </c>
      <c r="I579" t="s">
        <v>42</v>
      </c>
      <c r="J579" s="2">
        <v>8</v>
      </c>
      <c r="K579" t="s">
        <v>16</v>
      </c>
      <c r="L579" s="2">
        <v>4</v>
      </c>
      <c r="M579" t="s">
        <v>30</v>
      </c>
      <c r="N579" s="2">
        <v>5</v>
      </c>
    </row>
    <row r="580" spans="1:14">
      <c r="A580" t="s">
        <v>610</v>
      </c>
      <c r="B580" s="1" t="str">
        <f>"47-2141"</f>
        <v>47-2141</v>
      </c>
      <c r="C580" s="1">
        <v>365.3</v>
      </c>
      <c r="D580" s="1">
        <v>370.1</v>
      </c>
      <c r="E580" s="1">
        <v>4.9</v>
      </c>
      <c r="F580" s="1">
        <v>1.3</v>
      </c>
      <c r="G580" s="1">
        <v>31.6</v>
      </c>
      <c r="H580" s="2">
        <v>45590</v>
      </c>
      <c r="I580" t="s">
        <v>42</v>
      </c>
      <c r="J580" s="2">
        <v>8</v>
      </c>
      <c r="K580" t="s">
        <v>16</v>
      </c>
      <c r="L580" s="2">
        <v>4</v>
      </c>
      <c r="M580" t="s">
        <v>26</v>
      </c>
      <c r="N580" s="2">
        <v>4</v>
      </c>
    </row>
    <row r="581" spans="1:14">
      <c r="A581" t="s">
        <v>611</v>
      </c>
      <c r="B581" s="1" t="str">
        <f>"51-9123"</f>
        <v>51-9123</v>
      </c>
      <c r="C581" s="1">
        <v>13</v>
      </c>
      <c r="D581" s="1">
        <v>13.4</v>
      </c>
      <c r="E581" s="1">
        <v>0.4</v>
      </c>
      <c r="F581" s="1">
        <v>3.3</v>
      </c>
      <c r="G581" s="1">
        <v>1.4</v>
      </c>
      <c r="H581" s="2">
        <v>37330</v>
      </c>
      <c r="I581" t="s">
        <v>42</v>
      </c>
      <c r="J581" s="2">
        <v>8</v>
      </c>
      <c r="K581" t="s">
        <v>16</v>
      </c>
      <c r="L581" s="2">
        <v>4</v>
      </c>
      <c r="M581" t="s">
        <v>26</v>
      </c>
      <c r="N581" s="2">
        <v>4</v>
      </c>
    </row>
    <row r="582" spans="1:14">
      <c r="A582" t="s">
        <v>612</v>
      </c>
      <c r="B582" s="1" t="str">
        <f>"51-9196"</f>
        <v>51-9196</v>
      </c>
      <c r="C582" s="1">
        <v>87.5</v>
      </c>
      <c r="D582" s="1">
        <v>83.8</v>
      </c>
      <c r="E582" s="1">
        <v>-3.7</v>
      </c>
      <c r="F582" s="1">
        <v>-4.3</v>
      </c>
      <c r="G582" s="1">
        <v>10.1</v>
      </c>
      <c r="H582" s="2">
        <v>44820</v>
      </c>
      <c r="I582" t="s">
        <v>25</v>
      </c>
      <c r="J582" s="2">
        <v>7</v>
      </c>
      <c r="K582" t="s">
        <v>16</v>
      </c>
      <c r="L582" s="2">
        <v>4</v>
      </c>
      <c r="M582" t="s">
        <v>26</v>
      </c>
      <c r="N582" s="2">
        <v>4</v>
      </c>
    </row>
    <row r="583" spans="1:14">
      <c r="A583" t="s">
        <v>613</v>
      </c>
      <c r="B583" s="1" t="str">
        <f>"47-2142"</f>
        <v>47-2142</v>
      </c>
      <c r="C583" s="1">
        <v>4.1</v>
      </c>
      <c r="D583" s="1">
        <v>4.2</v>
      </c>
      <c r="E583" s="1">
        <v>0.1</v>
      </c>
      <c r="F583" s="1">
        <v>3</v>
      </c>
      <c r="G583" s="1">
        <v>0.4</v>
      </c>
      <c r="H583" s="2">
        <v>47610</v>
      </c>
      <c r="I583" t="s">
        <v>42</v>
      </c>
      <c r="J583" s="2">
        <v>8</v>
      </c>
      <c r="K583" t="s">
        <v>16</v>
      </c>
      <c r="L583" s="2">
        <v>4</v>
      </c>
      <c r="M583" t="s">
        <v>20</v>
      </c>
      <c r="N583" s="2">
        <v>3</v>
      </c>
    </row>
    <row r="584" spans="1:14">
      <c r="A584" t="s">
        <v>614</v>
      </c>
      <c r="B584" s="1" t="str">
        <f>"23-2011"</f>
        <v>23-2011</v>
      </c>
      <c r="C584" s="1">
        <v>352.8</v>
      </c>
      <c r="D584" s="1">
        <v>402.7</v>
      </c>
      <c r="E584" s="1">
        <v>49.9</v>
      </c>
      <c r="F584" s="1">
        <v>14.1</v>
      </c>
      <c r="G584" s="1">
        <v>45.8</v>
      </c>
      <c r="H584" s="2">
        <v>56230</v>
      </c>
      <c r="I584" t="s">
        <v>37</v>
      </c>
      <c r="J584" s="2">
        <v>4</v>
      </c>
      <c r="K584" t="s">
        <v>16</v>
      </c>
      <c r="L584" s="2">
        <v>4</v>
      </c>
      <c r="M584" t="s">
        <v>16</v>
      </c>
      <c r="N584" s="2">
        <v>6</v>
      </c>
    </row>
    <row r="585" spans="1:14">
      <c r="A585" t="s">
        <v>615</v>
      </c>
      <c r="B585" s="1" t="str">
        <f>"29-2043"</f>
        <v>29-2043</v>
      </c>
      <c r="C585" s="1">
        <v>97.6</v>
      </c>
      <c r="D585" s="1">
        <v>104.1</v>
      </c>
      <c r="E585" s="1">
        <v>6.4</v>
      </c>
      <c r="F585" s="1">
        <v>6.6</v>
      </c>
      <c r="G585" s="1">
        <v>6</v>
      </c>
      <c r="H585" s="2">
        <v>46770</v>
      </c>
      <c r="I585" t="s">
        <v>50</v>
      </c>
      <c r="J585" s="2">
        <v>5</v>
      </c>
      <c r="K585" t="s">
        <v>32</v>
      </c>
      <c r="L585" s="2">
        <v>2</v>
      </c>
      <c r="M585" t="s">
        <v>16</v>
      </c>
      <c r="N585" s="2">
        <v>6</v>
      </c>
    </row>
    <row r="586" spans="1:14">
      <c r="A586" t="s">
        <v>616</v>
      </c>
      <c r="B586" s="1" t="str">
        <f>"53-6021"</f>
        <v>53-6021</v>
      </c>
      <c r="C586" s="1">
        <v>95.9</v>
      </c>
      <c r="D586" s="1">
        <v>101.3</v>
      </c>
      <c r="E586" s="1">
        <v>5.4</v>
      </c>
      <c r="F586" s="1">
        <v>5.6</v>
      </c>
      <c r="G586" s="1">
        <v>14.8</v>
      </c>
      <c r="H586" s="2">
        <v>29240</v>
      </c>
      <c r="I586" t="s">
        <v>42</v>
      </c>
      <c r="J586" s="2">
        <v>8</v>
      </c>
      <c r="K586" t="s">
        <v>16</v>
      </c>
      <c r="L586" s="2">
        <v>4</v>
      </c>
      <c r="M586" t="s">
        <v>30</v>
      </c>
      <c r="N586" s="2">
        <v>5</v>
      </c>
    </row>
    <row r="587" spans="1:14">
      <c r="A587" t="s">
        <v>617</v>
      </c>
      <c r="B587" s="1" t="str">
        <f>"33-3041"</f>
        <v>33-3041</v>
      </c>
      <c r="C587" s="1">
        <v>8.6</v>
      </c>
      <c r="D587" s="1">
        <v>5.4</v>
      </c>
      <c r="E587" s="1">
        <v>-3.2</v>
      </c>
      <c r="F587" s="1">
        <v>-37.1</v>
      </c>
      <c r="G587" s="1">
        <v>0.4</v>
      </c>
      <c r="H587" s="2">
        <v>46590</v>
      </c>
      <c r="I587" t="s">
        <v>25</v>
      </c>
      <c r="J587" s="2">
        <v>7</v>
      </c>
      <c r="K587" t="s">
        <v>16</v>
      </c>
      <c r="L587" s="2">
        <v>4</v>
      </c>
      <c r="M587" t="s">
        <v>30</v>
      </c>
      <c r="N587" s="2">
        <v>5</v>
      </c>
    </row>
    <row r="588" spans="1:14">
      <c r="A588" t="s">
        <v>618</v>
      </c>
      <c r="B588" s="1" t="str">
        <f>"41-2022"</f>
        <v>41-2022</v>
      </c>
      <c r="C588" s="1">
        <v>270.5</v>
      </c>
      <c r="D588" s="1">
        <v>280.1</v>
      </c>
      <c r="E588" s="1">
        <v>9.7</v>
      </c>
      <c r="F588" s="1">
        <v>3.6</v>
      </c>
      <c r="G588" s="1">
        <v>35.6</v>
      </c>
      <c r="H588" s="2">
        <v>34260</v>
      </c>
      <c r="I588" t="s">
        <v>42</v>
      </c>
      <c r="J588" s="2">
        <v>8</v>
      </c>
      <c r="K588" t="s">
        <v>16</v>
      </c>
      <c r="L588" s="2">
        <v>4</v>
      </c>
      <c r="M588" t="s">
        <v>26</v>
      </c>
      <c r="N588" s="2">
        <v>4</v>
      </c>
    </row>
    <row r="589" spans="1:14">
      <c r="A589" t="s">
        <v>619</v>
      </c>
      <c r="B589" s="1" t="str">
        <f>"53-6061"</f>
        <v>53-6061</v>
      </c>
      <c r="C589" s="1">
        <v>21.5</v>
      </c>
      <c r="D589" s="1">
        <v>21.7</v>
      </c>
      <c r="E589" s="1">
        <v>0.2</v>
      </c>
      <c r="F589" s="1">
        <v>0.8</v>
      </c>
      <c r="G589" s="1">
        <v>4</v>
      </c>
      <c r="H589" s="2">
        <v>30470</v>
      </c>
      <c r="I589" t="s">
        <v>25</v>
      </c>
      <c r="J589" s="2">
        <v>7</v>
      </c>
      <c r="K589" t="s">
        <v>16</v>
      </c>
      <c r="L589" s="2">
        <v>4</v>
      </c>
      <c r="M589" t="s">
        <v>30</v>
      </c>
      <c r="N589" s="2">
        <v>5</v>
      </c>
    </row>
    <row r="590" spans="1:14">
      <c r="A590" t="s">
        <v>620</v>
      </c>
      <c r="B590" s="1" t="str">
        <f>"51-4062"</f>
        <v>51-4062</v>
      </c>
      <c r="C590" s="1">
        <v>2.1</v>
      </c>
      <c r="D590" s="1">
        <v>1.9</v>
      </c>
      <c r="E590" s="1">
        <v>-0.2</v>
      </c>
      <c r="F590" s="1">
        <v>-10.2</v>
      </c>
      <c r="G590" s="1">
        <v>0.2</v>
      </c>
      <c r="H590" s="2">
        <v>48090</v>
      </c>
      <c r="I590" t="s">
        <v>25</v>
      </c>
      <c r="J590" s="2">
        <v>7</v>
      </c>
      <c r="K590" t="s">
        <v>16</v>
      </c>
      <c r="L590" s="2">
        <v>4</v>
      </c>
      <c r="M590" t="s">
        <v>26</v>
      </c>
      <c r="N590" s="2">
        <v>4</v>
      </c>
    </row>
    <row r="591" spans="1:14">
      <c r="A591" t="s">
        <v>621</v>
      </c>
      <c r="B591" s="1" t="str">
        <f>"51-7032"</f>
        <v>51-7032</v>
      </c>
      <c r="C591" s="1">
        <v>0.3</v>
      </c>
      <c r="D591" s="1">
        <v>0.3</v>
      </c>
      <c r="E591" s="1">
        <v>0</v>
      </c>
      <c r="F591" s="1">
        <v>7.8</v>
      </c>
      <c r="G591" s="1">
        <v>0</v>
      </c>
      <c r="H591" s="2">
        <v>46920</v>
      </c>
      <c r="I591" t="s">
        <v>25</v>
      </c>
      <c r="J591" s="2">
        <v>7</v>
      </c>
      <c r="K591" t="s">
        <v>16</v>
      </c>
      <c r="L591" s="2">
        <v>4</v>
      </c>
      <c r="M591" t="s">
        <v>26</v>
      </c>
      <c r="N591" s="2">
        <v>4</v>
      </c>
    </row>
    <row r="592" spans="1:14">
      <c r="A592" t="s">
        <v>622</v>
      </c>
      <c r="B592" s="1" t="str">
        <f>"47-2071"</f>
        <v>47-2071</v>
      </c>
      <c r="C592" s="1">
        <v>45</v>
      </c>
      <c r="D592" s="1">
        <v>47.5</v>
      </c>
      <c r="E592" s="1">
        <v>2.5</v>
      </c>
      <c r="F592" s="1">
        <v>5.5</v>
      </c>
      <c r="G592" s="1">
        <v>4.9</v>
      </c>
      <c r="H592" s="2">
        <v>46960</v>
      </c>
      <c r="I592" t="s">
        <v>25</v>
      </c>
      <c r="J592" s="2">
        <v>7</v>
      </c>
      <c r="K592" t="s">
        <v>16</v>
      </c>
      <c r="L592" s="2">
        <v>4</v>
      </c>
      <c r="M592" t="s">
        <v>26</v>
      </c>
      <c r="N592" s="2">
        <v>4</v>
      </c>
    </row>
    <row r="593" spans="1:14">
      <c r="A593" t="s">
        <v>623</v>
      </c>
      <c r="B593" s="1" t="str">
        <f>"43-3051"</f>
        <v>43-3051</v>
      </c>
      <c r="C593" s="1">
        <v>157.7</v>
      </c>
      <c r="D593" s="1">
        <v>133.9</v>
      </c>
      <c r="E593" s="1">
        <v>-23.8</v>
      </c>
      <c r="F593" s="1">
        <v>-15.1</v>
      </c>
      <c r="G593" s="1">
        <v>13.8</v>
      </c>
      <c r="H593" s="2">
        <v>47610</v>
      </c>
      <c r="I593" t="s">
        <v>25</v>
      </c>
      <c r="J593" s="2">
        <v>7</v>
      </c>
      <c r="K593" t="s">
        <v>16</v>
      </c>
      <c r="L593" s="2">
        <v>4</v>
      </c>
      <c r="M593" t="s">
        <v>26</v>
      </c>
      <c r="N593" s="2">
        <v>4</v>
      </c>
    </row>
    <row r="594" spans="1:14">
      <c r="A594" t="s">
        <v>624</v>
      </c>
      <c r="B594" s="1" t="str">
        <f>"29-1243"</f>
        <v>29-1243</v>
      </c>
      <c r="C594" s="1">
        <v>0.9</v>
      </c>
      <c r="D594" s="1">
        <v>0.9</v>
      </c>
      <c r="E594" s="1">
        <v>0</v>
      </c>
      <c r="F594" s="1">
        <v>2.2</v>
      </c>
      <c r="G594" s="1">
        <v>0</v>
      </c>
      <c r="H594" s="2" t="s">
        <v>58</v>
      </c>
      <c r="I594" t="s">
        <v>28</v>
      </c>
      <c r="J594" s="2">
        <v>1</v>
      </c>
      <c r="K594" t="s">
        <v>16</v>
      </c>
      <c r="L594" s="2">
        <v>4</v>
      </c>
      <c r="M594" t="s">
        <v>59</v>
      </c>
      <c r="N594" s="2">
        <v>1</v>
      </c>
    </row>
    <row r="595" spans="1:14">
      <c r="A595" t="s">
        <v>625</v>
      </c>
      <c r="B595" s="1" t="str">
        <f>"29-1221"</f>
        <v>29-1221</v>
      </c>
      <c r="C595" s="1">
        <v>36.8</v>
      </c>
      <c r="D595" s="1">
        <v>37.2</v>
      </c>
      <c r="E595" s="1">
        <v>0.4</v>
      </c>
      <c r="F595" s="1">
        <v>1.1</v>
      </c>
      <c r="G595" s="1">
        <v>1.1</v>
      </c>
      <c r="H595" s="2">
        <v>170480</v>
      </c>
      <c r="I595" t="s">
        <v>28</v>
      </c>
      <c r="J595" s="2">
        <v>1</v>
      </c>
      <c r="K595" t="s">
        <v>16</v>
      </c>
      <c r="L595" s="2">
        <v>4</v>
      </c>
      <c r="M595" t="s">
        <v>59</v>
      </c>
      <c r="N595" s="2">
        <v>1</v>
      </c>
    </row>
    <row r="596" spans="1:14">
      <c r="A596" t="s">
        <v>626</v>
      </c>
      <c r="B596" s="1" t="str">
        <f>"39-9099"</f>
        <v>39-9099</v>
      </c>
      <c r="C596" s="1">
        <v>104.4</v>
      </c>
      <c r="D596" s="1">
        <v>130.4</v>
      </c>
      <c r="E596" s="1">
        <v>26</v>
      </c>
      <c r="F596" s="1">
        <v>24.9</v>
      </c>
      <c r="G596" s="1">
        <v>22.6</v>
      </c>
      <c r="H596" s="2">
        <v>29610</v>
      </c>
      <c r="I596" t="s">
        <v>25</v>
      </c>
      <c r="J596" s="2">
        <v>7</v>
      </c>
      <c r="K596" t="s">
        <v>16</v>
      </c>
      <c r="L596" s="2">
        <v>4</v>
      </c>
      <c r="M596" t="s">
        <v>30</v>
      </c>
      <c r="N596" s="2">
        <v>5</v>
      </c>
    </row>
    <row r="597" spans="1:14">
      <c r="A597" t="s">
        <v>627</v>
      </c>
      <c r="B597" s="1" t="str">
        <f>"13-2052"</f>
        <v>13-2052</v>
      </c>
      <c r="C597" s="1">
        <v>330.3</v>
      </c>
      <c r="D597" s="1">
        <v>381.2</v>
      </c>
      <c r="E597" s="1">
        <v>50.9</v>
      </c>
      <c r="F597" s="1">
        <v>15.4</v>
      </c>
      <c r="G597" s="1">
        <v>30.5</v>
      </c>
      <c r="H597" s="2">
        <v>94170</v>
      </c>
      <c r="I597" t="s">
        <v>15</v>
      </c>
      <c r="J597" s="2">
        <v>3</v>
      </c>
      <c r="K597" t="s">
        <v>16</v>
      </c>
      <c r="L597" s="2">
        <v>4</v>
      </c>
      <c r="M597" t="s">
        <v>20</v>
      </c>
      <c r="N597" s="2">
        <v>3</v>
      </c>
    </row>
    <row r="598" spans="1:14">
      <c r="A598" t="s">
        <v>628</v>
      </c>
      <c r="B598" s="1" t="str">
        <f>"11-9179"</f>
        <v>11-9179</v>
      </c>
      <c r="C598" s="1">
        <v>22.9</v>
      </c>
      <c r="D598" s="1">
        <v>25.1</v>
      </c>
      <c r="E598" s="1">
        <v>2.2</v>
      </c>
      <c r="F598" s="1">
        <v>9.5</v>
      </c>
      <c r="G598" s="1">
        <v>2.1</v>
      </c>
      <c r="H598" s="2">
        <v>60360</v>
      </c>
      <c r="I598" t="s">
        <v>25</v>
      </c>
      <c r="J598" s="2">
        <v>7</v>
      </c>
      <c r="K598" t="s">
        <v>32</v>
      </c>
      <c r="L598" s="2">
        <v>2</v>
      </c>
      <c r="M598" t="s">
        <v>16</v>
      </c>
      <c r="N598" s="2">
        <v>6</v>
      </c>
    </row>
    <row r="599" spans="1:14">
      <c r="A599" t="s">
        <v>629</v>
      </c>
      <c r="B599" s="1" t="str">
        <f>"37-2021"</f>
        <v>37-2021</v>
      </c>
      <c r="C599" s="1">
        <v>90.6</v>
      </c>
      <c r="D599" s="1">
        <v>96.7</v>
      </c>
      <c r="E599" s="1">
        <v>6.1</v>
      </c>
      <c r="F599" s="1">
        <v>6.8</v>
      </c>
      <c r="G599" s="1">
        <v>13.3</v>
      </c>
      <c r="H599" s="2">
        <v>37540</v>
      </c>
      <c r="I599" t="s">
        <v>25</v>
      </c>
      <c r="J599" s="2">
        <v>7</v>
      </c>
      <c r="K599" t="s">
        <v>16</v>
      </c>
      <c r="L599" s="2">
        <v>4</v>
      </c>
      <c r="M599" t="s">
        <v>26</v>
      </c>
      <c r="N599" s="2">
        <v>4</v>
      </c>
    </row>
    <row r="600" spans="1:14">
      <c r="A600" t="s">
        <v>630</v>
      </c>
      <c r="B600" s="1" t="str">
        <f>"37-3012"</f>
        <v>37-3012</v>
      </c>
      <c r="C600" s="1">
        <v>27.6</v>
      </c>
      <c r="D600" s="1">
        <v>29.2</v>
      </c>
      <c r="E600" s="1">
        <v>1.6</v>
      </c>
      <c r="F600" s="1">
        <v>5.8</v>
      </c>
      <c r="G600" s="1">
        <v>3.8</v>
      </c>
      <c r="H600" s="2">
        <v>38270</v>
      </c>
      <c r="I600" t="s">
        <v>25</v>
      </c>
      <c r="J600" s="2">
        <v>7</v>
      </c>
      <c r="K600" t="s">
        <v>16</v>
      </c>
      <c r="L600" s="2">
        <v>4</v>
      </c>
      <c r="M600" t="s">
        <v>26</v>
      </c>
      <c r="N600" s="2">
        <v>4</v>
      </c>
    </row>
    <row r="601" spans="1:14">
      <c r="A601" t="s">
        <v>631</v>
      </c>
      <c r="B601" s="1" t="str">
        <f>"17-2171"</f>
        <v>17-2171</v>
      </c>
      <c r="C601" s="1">
        <v>22.8</v>
      </c>
      <c r="D601" s="1">
        <v>24.6</v>
      </c>
      <c r="E601" s="1">
        <v>1.9</v>
      </c>
      <c r="F601" s="1">
        <v>8.3</v>
      </c>
      <c r="G601" s="1">
        <v>1.7</v>
      </c>
      <c r="H601" s="2">
        <v>130850</v>
      </c>
      <c r="I601" t="s">
        <v>15</v>
      </c>
      <c r="J601" s="2">
        <v>3</v>
      </c>
      <c r="K601" t="s">
        <v>16</v>
      </c>
      <c r="L601" s="2">
        <v>4</v>
      </c>
      <c r="M601" t="s">
        <v>16</v>
      </c>
      <c r="N601" s="2">
        <v>6</v>
      </c>
    </row>
    <row r="602" spans="1:14">
      <c r="A602" t="s">
        <v>632</v>
      </c>
      <c r="B602" s="1" t="str">
        <f>"51-8093"</f>
        <v>51-8093</v>
      </c>
      <c r="C602" s="1">
        <v>35.3</v>
      </c>
      <c r="D602" s="1">
        <v>36.4</v>
      </c>
      <c r="E602" s="1">
        <v>1</v>
      </c>
      <c r="F602" s="1">
        <v>3</v>
      </c>
      <c r="G602" s="1">
        <v>3.9</v>
      </c>
      <c r="H602" s="2">
        <v>79540</v>
      </c>
      <c r="I602" t="s">
        <v>25</v>
      </c>
      <c r="J602" s="2">
        <v>7</v>
      </c>
      <c r="K602" t="s">
        <v>16</v>
      </c>
      <c r="L602" s="2">
        <v>4</v>
      </c>
      <c r="M602" t="s">
        <v>26</v>
      </c>
      <c r="N602" s="2">
        <v>4</v>
      </c>
    </row>
    <row r="603" spans="1:14">
      <c r="A603" t="s">
        <v>633</v>
      </c>
      <c r="B603" s="1" t="str">
        <f>"29-1051"</f>
        <v>29-1051</v>
      </c>
      <c r="C603" s="1">
        <v>323.5</v>
      </c>
      <c r="D603" s="1">
        <v>331.1</v>
      </c>
      <c r="E603" s="1">
        <v>7.7</v>
      </c>
      <c r="F603" s="1">
        <v>2.4</v>
      </c>
      <c r="G603" s="1">
        <v>13.6</v>
      </c>
      <c r="H603" s="2">
        <v>128570</v>
      </c>
      <c r="I603" t="s">
        <v>28</v>
      </c>
      <c r="J603" s="2">
        <v>1</v>
      </c>
      <c r="K603" t="s">
        <v>16</v>
      </c>
      <c r="L603" s="2">
        <v>4</v>
      </c>
      <c r="M603" t="s">
        <v>16</v>
      </c>
      <c r="N603" s="2">
        <v>6</v>
      </c>
    </row>
    <row r="604" spans="1:14">
      <c r="A604" t="s">
        <v>634</v>
      </c>
      <c r="B604" s="1" t="str">
        <f>"31-9095"</f>
        <v>31-9095</v>
      </c>
      <c r="C604" s="1">
        <v>44.6</v>
      </c>
      <c r="D604" s="1">
        <v>43.3</v>
      </c>
      <c r="E604" s="1">
        <v>-1.3</v>
      </c>
      <c r="F604" s="1">
        <v>-2.9</v>
      </c>
      <c r="G604" s="1">
        <v>7.5</v>
      </c>
      <c r="H604" s="2">
        <v>29930</v>
      </c>
      <c r="I604" t="s">
        <v>25</v>
      </c>
      <c r="J604" s="2">
        <v>7</v>
      </c>
      <c r="K604" t="s">
        <v>16</v>
      </c>
      <c r="L604" s="2">
        <v>4</v>
      </c>
      <c r="M604" t="s">
        <v>30</v>
      </c>
      <c r="N604" s="2">
        <v>5</v>
      </c>
    </row>
    <row r="605" spans="1:14">
      <c r="A605" t="s">
        <v>635</v>
      </c>
      <c r="B605" s="1" t="str">
        <f>"29-2052"</f>
        <v>29-2052</v>
      </c>
      <c r="C605" s="1">
        <v>447.3</v>
      </c>
      <c r="D605" s="1">
        <v>469.7</v>
      </c>
      <c r="E605" s="1">
        <v>22.4</v>
      </c>
      <c r="F605" s="1">
        <v>5</v>
      </c>
      <c r="G605" s="1">
        <v>43.5</v>
      </c>
      <c r="H605" s="2">
        <v>36740</v>
      </c>
      <c r="I605" t="s">
        <v>25</v>
      </c>
      <c r="J605" s="2">
        <v>7</v>
      </c>
      <c r="K605" t="s">
        <v>16</v>
      </c>
      <c r="L605" s="2">
        <v>4</v>
      </c>
      <c r="M605" t="s">
        <v>26</v>
      </c>
      <c r="N605" s="2">
        <v>4</v>
      </c>
    </row>
    <row r="606" spans="1:14">
      <c r="A606" t="s">
        <v>636</v>
      </c>
      <c r="B606" s="1" t="str">
        <f>"25-1126"</f>
        <v>25-1126</v>
      </c>
      <c r="C606" s="1">
        <v>28.2</v>
      </c>
      <c r="D606" s="1">
        <v>30.6</v>
      </c>
      <c r="E606" s="1">
        <v>2.4</v>
      </c>
      <c r="F606" s="1">
        <v>8.6</v>
      </c>
      <c r="G606" s="1">
        <v>2.7</v>
      </c>
      <c r="H606" s="2">
        <v>77610</v>
      </c>
      <c r="I606" t="s">
        <v>28</v>
      </c>
      <c r="J606" s="2">
        <v>1</v>
      </c>
      <c r="K606" t="s">
        <v>16</v>
      </c>
      <c r="L606" s="2">
        <v>4</v>
      </c>
      <c r="M606" t="s">
        <v>16</v>
      </c>
      <c r="N606" s="2">
        <v>6</v>
      </c>
    </row>
    <row r="607" spans="1:14">
      <c r="A607" t="s">
        <v>637</v>
      </c>
      <c r="B607" s="1" t="str">
        <f>"31-9097"</f>
        <v>31-9097</v>
      </c>
      <c r="C607" s="1">
        <v>135.5</v>
      </c>
      <c r="D607" s="1">
        <v>149.4</v>
      </c>
      <c r="E607" s="1">
        <v>13.9</v>
      </c>
      <c r="F607" s="1">
        <v>10.2</v>
      </c>
      <c r="G607" s="1">
        <v>21.5</v>
      </c>
      <c r="H607" s="2">
        <v>37380</v>
      </c>
      <c r="I607" t="s">
        <v>50</v>
      </c>
      <c r="J607" s="2">
        <v>5</v>
      </c>
      <c r="K607" t="s">
        <v>16</v>
      </c>
      <c r="L607" s="2">
        <v>4</v>
      </c>
      <c r="M607" t="s">
        <v>16</v>
      </c>
      <c r="N607" s="2">
        <v>6</v>
      </c>
    </row>
    <row r="608" spans="1:14">
      <c r="A608" t="s">
        <v>638</v>
      </c>
      <c r="B608" s="1" t="str">
        <f>"27-4021"</f>
        <v>27-4021</v>
      </c>
      <c r="C608" s="1">
        <v>125.6</v>
      </c>
      <c r="D608" s="1">
        <v>136.8</v>
      </c>
      <c r="E608" s="1">
        <v>11.2</v>
      </c>
      <c r="F608" s="1">
        <v>8.9</v>
      </c>
      <c r="G608" s="1">
        <v>12.7</v>
      </c>
      <c r="H608" s="2">
        <v>38950</v>
      </c>
      <c r="I608" t="s">
        <v>25</v>
      </c>
      <c r="J608" s="2">
        <v>7</v>
      </c>
      <c r="K608" t="s">
        <v>16</v>
      </c>
      <c r="L608" s="2">
        <v>4</v>
      </c>
      <c r="M608" t="s">
        <v>26</v>
      </c>
      <c r="N608" s="2">
        <v>4</v>
      </c>
    </row>
    <row r="609" spans="1:14">
      <c r="A609" t="s">
        <v>639</v>
      </c>
      <c r="B609" s="1" t="str">
        <f>"51-9151"</f>
        <v>51-9151</v>
      </c>
      <c r="C609" s="1">
        <v>7.4</v>
      </c>
      <c r="D609" s="1">
        <v>7.7</v>
      </c>
      <c r="E609" s="1">
        <v>0.3</v>
      </c>
      <c r="F609" s="1">
        <v>3.5</v>
      </c>
      <c r="G609" s="1">
        <v>1.1</v>
      </c>
      <c r="H609" s="2">
        <v>36590</v>
      </c>
      <c r="I609" t="s">
        <v>25</v>
      </c>
      <c r="J609" s="2">
        <v>7</v>
      </c>
      <c r="K609" t="s">
        <v>16</v>
      </c>
      <c r="L609" s="2">
        <v>4</v>
      </c>
      <c r="M609" t="s">
        <v>30</v>
      </c>
      <c r="N609" s="2">
        <v>5</v>
      </c>
    </row>
    <row r="610" spans="1:14">
      <c r="A610" t="s">
        <v>640</v>
      </c>
      <c r="B610" s="1" t="str">
        <f>"19-2099"</f>
        <v>19-2099</v>
      </c>
      <c r="C610" s="1">
        <v>28.5</v>
      </c>
      <c r="D610" s="1">
        <v>28.6</v>
      </c>
      <c r="E610" s="1">
        <v>0.1</v>
      </c>
      <c r="F610" s="1">
        <v>0.4</v>
      </c>
      <c r="G610" s="1">
        <v>2.2</v>
      </c>
      <c r="H610" s="2">
        <v>104100</v>
      </c>
      <c r="I610" t="s">
        <v>15</v>
      </c>
      <c r="J610" s="2">
        <v>3</v>
      </c>
      <c r="K610" t="s">
        <v>16</v>
      </c>
      <c r="L610" s="2">
        <v>4</v>
      </c>
      <c r="M610" t="s">
        <v>16</v>
      </c>
      <c r="N610" s="2">
        <v>6</v>
      </c>
    </row>
    <row r="611" spans="1:14">
      <c r="A611" t="s">
        <v>641</v>
      </c>
      <c r="B611" s="1" t="str">
        <f>"31-2022"</f>
        <v>31-2022</v>
      </c>
      <c r="C611" s="1">
        <v>44.2</v>
      </c>
      <c r="D611" s="1">
        <v>52.6</v>
      </c>
      <c r="E611" s="1">
        <v>8.3</v>
      </c>
      <c r="F611" s="1">
        <v>18.8</v>
      </c>
      <c r="G611" s="1">
        <v>7.6</v>
      </c>
      <c r="H611" s="2">
        <v>29200</v>
      </c>
      <c r="I611" t="s">
        <v>25</v>
      </c>
      <c r="J611" s="2">
        <v>7</v>
      </c>
      <c r="K611" t="s">
        <v>16</v>
      </c>
      <c r="L611" s="2">
        <v>4</v>
      </c>
      <c r="M611" t="s">
        <v>30</v>
      </c>
      <c r="N611" s="2">
        <v>5</v>
      </c>
    </row>
    <row r="612" spans="1:14">
      <c r="A612" t="s">
        <v>642</v>
      </c>
      <c r="B612" s="1" t="str">
        <f>"31-2021"</f>
        <v>31-2021</v>
      </c>
      <c r="C612" s="1">
        <v>96.5</v>
      </c>
      <c r="D612" s="1">
        <v>122.1</v>
      </c>
      <c r="E612" s="1">
        <v>25.6</v>
      </c>
      <c r="F612" s="1">
        <v>26.5</v>
      </c>
      <c r="G612" s="1">
        <v>17.9</v>
      </c>
      <c r="H612" s="2">
        <v>61180</v>
      </c>
      <c r="I612" t="s">
        <v>37</v>
      </c>
      <c r="J612" s="2">
        <v>4</v>
      </c>
      <c r="K612" t="s">
        <v>16</v>
      </c>
      <c r="L612" s="2">
        <v>4</v>
      </c>
      <c r="M612" t="s">
        <v>16</v>
      </c>
      <c r="N612" s="2">
        <v>6</v>
      </c>
    </row>
    <row r="613" spans="1:14">
      <c r="A613" t="s">
        <v>643</v>
      </c>
      <c r="B613" s="1" t="str">
        <f>"29-1123"</f>
        <v>29-1123</v>
      </c>
      <c r="C613" s="1">
        <v>238.8</v>
      </c>
      <c r="D613" s="1">
        <v>279.2</v>
      </c>
      <c r="E613" s="1">
        <v>40.4</v>
      </c>
      <c r="F613" s="1">
        <v>16.9</v>
      </c>
      <c r="G613" s="1">
        <v>15.4</v>
      </c>
      <c r="H613" s="2">
        <v>95620</v>
      </c>
      <c r="I613" t="s">
        <v>28</v>
      </c>
      <c r="J613" s="2">
        <v>1</v>
      </c>
      <c r="K613" t="s">
        <v>16</v>
      </c>
      <c r="L613" s="2">
        <v>4</v>
      </c>
      <c r="M613" t="s">
        <v>16</v>
      </c>
      <c r="N613" s="2">
        <v>6</v>
      </c>
    </row>
    <row r="614" spans="1:14">
      <c r="A614" t="s">
        <v>644</v>
      </c>
      <c r="B614" s="1" t="str">
        <f>"29-1071"</f>
        <v>29-1071</v>
      </c>
      <c r="C614" s="1">
        <v>139.1</v>
      </c>
      <c r="D614" s="1">
        <v>177.5</v>
      </c>
      <c r="E614" s="1">
        <v>38.4</v>
      </c>
      <c r="F614" s="1">
        <v>27.6</v>
      </c>
      <c r="G614" s="1">
        <v>12.7</v>
      </c>
      <c r="H614" s="2">
        <v>121530</v>
      </c>
      <c r="I614" t="s">
        <v>23</v>
      </c>
      <c r="J614" s="2">
        <v>2</v>
      </c>
      <c r="K614" t="s">
        <v>16</v>
      </c>
      <c r="L614" s="2">
        <v>4</v>
      </c>
      <c r="M614" t="s">
        <v>16</v>
      </c>
      <c r="N614" s="2">
        <v>6</v>
      </c>
    </row>
    <row r="615" spans="1:14">
      <c r="A615" t="s">
        <v>645</v>
      </c>
      <c r="B615" s="1" t="str">
        <f>"29-1229"</f>
        <v>29-1229</v>
      </c>
      <c r="C615" s="1">
        <v>280.8</v>
      </c>
      <c r="D615" s="1">
        <v>287.5</v>
      </c>
      <c r="E615" s="1">
        <v>6.7</v>
      </c>
      <c r="F615" s="1">
        <v>2.4</v>
      </c>
      <c r="G615" s="1">
        <v>8.7</v>
      </c>
      <c r="H615" s="2" t="s">
        <v>58</v>
      </c>
      <c r="I615" t="s">
        <v>28</v>
      </c>
      <c r="J615" s="2">
        <v>1</v>
      </c>
      <c r="K615" t="s">
        <v>16</v>
      </c>
      <c r="L615" s="2">
        <v>4</v>
      </c>
      <c r="M615" t="s">
        <v>59</v>
      </c>
      <c r="N615" s="2">
        <v>1</v>
      </c>
    </row>
    <row r="616" spans="1:14">
      <c r="A616" t="s">
        <v>646</v>
      </c>
      <c r="B616" s="1" t="str">
        <f>"29-1222"</f>
        <v>29-1222</v>
      </c>
      <c r="C616" s="1">
        <v>12.1</v>
      </c>
      <c r="D616" s="1">
        <v>12.6</v>
      </c>
      <c r="E616" s="1">
        <v>0.5</v>
      </c>
      <c r="F616" s="1">
        <v>4.5</v>
      </c>
      <c r="G616" s="1">
        <v>0.4</v>
      </c>
      <c r="H616" s="2" t="s">
        <v>58</v>
      </c>
      <c r="I616" t="s">
        <v>28</v>
      </c>
      <c r="J616" s="2">
        <v>1</v>
      </c>
      <c r="K616" t="s">
        <v>16</v>
      </c>
      <c r="L616" s="2">
        <v>4</v>
      </c>
      <c r="M616" t="s">
        <v>59</v>
      </c>
      <c r="N616" s="2">
        <v>1</v>
      </c>
    </row>
    <row r="617" spans="1:14">
      <c r="A617" t="s">
        <v>647</v>
      </c>
      <c r="B617" s="1" t="str">
        <f>"19-2012"</f>
        <v>19-2012</v>
      </c>
      <c r="C617" s="1">
        <v>23</v>
      </c>
      <c r="D617" s="1">
        <v>24.8</v>
      </c>
      <c r="E617" s="1">
        <v>1.9</v>
      </c>
      <c r="F617" s="1">
        <v>8.2</v>
      </c>
      <c r="G617" s="1">
        <v>1.9</v>
      </c>
      <c r="H617" s="2">
        <v>152430</v>
      </c>
      <c r="I617" t="s">
        <v>28</v>
      </c>
      <c r="J617" s="2">
        <v>1</v>
      </c>
      <c r="K617" t="s">
        <v>16</v>
      </c>
      <c r="L617" s="2">
        <v>4</v>
      </c>
      <c r="M617" t="s">
        <v>16</v>
      </c>
      <c r="N617" s="2">
        <v>6</v>
      </c>
    </row>
    <row r="618" spans="1:14">
      <c r="A618" t="s">
        <v>648</v>
      </c>
      <c r="B618" s="1" t="str">
        <f>"25-1054"</f>
        <v>25-1054</v>
      </c>
      <c r="C618" s="1">
        <v>16</v>
      </c>
      <c r="D618" s="1">
        <v>17.3</v>
      </c>
      <c r="E618" s="1">
        <v>1.3</v>
      </c>
      <c r="F618" s="1">
        <v>7.9</v>
      </c>
      <c r="G618" s="1">
        <v>1.5</v>
      </c>
      <c r="H618" s="2">
        <v>93070</v>
      </c>
      <c r="I618" t="s">
        <v>28</v>
      </c>
      <c r="J618" s="2">
        <v>1</v>
      </c>
      <c r="K618" t="s">
        <v>16</v>
      </c>
      <c r="L618" s="2">
        <v>4</v>
      </c>
      <c r="M618" t="s">
        <v>16</v>
      </c>
      <c r="N618" s="2">
        <v>6</v>
      </c>
    </row>
    <row r="619" spans="1:14">
      <c r="A619" t="s">
        <v>649</v>
      </c>
      <c r="B619" s="1" t="str">
        <f>"47-2072"</f>
        <v>47-2072</v>
      </c>
      <c r="C619" s="1">
        <v>3.9</v>
      </c>
      <c r="D619" s="1">
        <v>4.1</v>
      </c>
      <c r="E619" s="1">
        <v>0.2</v>
      </c>
      <c r="F619" s="1">
        <v>6</v>
      </c>
      <c r="G619" s="1">
        <v>0.4</v>
      </c>
      <c r="H619" s="2">
        <v>76260</v>
      </c>
      <c r="I619" t="s">
        <v>25</v>
      </c>
      <c r="J619" s="2">
        <v>7</v>
      </c>
      <c r="K619" t="s">
        <v>16</v>
      </c>
      <c r="L619" s="2">
        <v>4</v>
      </c>
      <c r="M619" t="s">
        <v>26</v>
      </c>
      <c r="N619" s="2">
        <v>4</v>
      </c>
    </row>
    <row r="620" spans="1:14">
      <c r="A620" t="s">
        <v>650</v>
      </c>
      <c r="B620" s="1" t="str">
        <f>"47-2151"</f>
        <v>47-2151</v>
      </c>
      <c r="C620" s="1">
        <v>34.6</v>
      </c>
      <c r="D620" s="1">
        <v>33.7</v>
      </c>
      <c r="E620" s="1">
        <v>-0.9</v>
      </c>
      <c r="F620" s="1">
        <v>-2.6</v>
      </c>
      <c r="G620" s="1">
        <v>3.2</v>
      </c>
      <c r="H620" s="2">
        <v>45980</v>
      </c>
      <c r="I620" t="s">
        <v>42</v>
      </c>
      <c r="J620" s="2">
        <v>8</v>
      </c>
      <c r="K620" t="s">
        <v>16</v>
      </c>
      <c r="L620" s="2">
        <v>4</v>
      </c>
      <c r="M620" t="s">
        <v>30</v>
      </c>
      <c r="N620" s="2">
        <v>5</v>
      </c>
    </row>
    <row r="621" spans="1:14">
      <c r="A621" t="s">
        <v>651</v>
      </c>
      <c r="B621" s="1" t="str">
        <f>"51-8099"</f>
        <v>51-8099</v>
      </c>
      <c r="C621" s="1">
        <v>15.9</v>
      </c>
      <c r="D621" s="1">
        <v>15.9</v>
      </c>
      <c r="E621" s="1">
        <v>0.1</v>
      </c>
      <c r="F621" s="1">
        <v>0.4</v>
      </c>
      <c r="G621" s="1">
        <v>1.7</v>
      </c>
      <c r="H621" s="2">
        <v>50250</v>
      </c>
      <c r="I621" t="s">
        <v>25</v>
      </c>
      <c r="J621" s="2">
        <v>7</v>
      </c>
      <c r="K621" t="s">
        <v>16</v>
      </c>
      <c r="L621" s="2">
        <v>4</v>
      </c>
      <c r="M621" t="s">
        <v>26</v>
      </c>
      <c r="N621" s="2">
        <v>4</v>
      </c>
    </row>
    <row r="622" spans="1:14">
      <c r="A622" t="s">
        <v>652</v>
      </c>
      <c r="B622" s="1" t="str">
        <f>"47-2161"</f>
        <v>47-2161</v>
      </c>
      <c r="C622" s="1">
        <v>31.4</v>
      </c>
      <c r="D622" s="1">
        <v>32.7</v>
      </c>
      <c r="E622" s="1">
        <v>1.3</v>
      </c>
      <c r="F622" s="1">
        <v>4</v>
      </c>
      <c r="G622" s="1">
        <v>2.9</v>
      </c>
      <c r="H622" s="2">
        <v>48340</v>
      </c>
      <c r="I622" t="s">
        <v>42</v>
      </c>
      <c r="J622" s="2">
        <v>8</v>
      </c>
      <c r="K622" t="s">
        <v>16</v>
      </c>
      <c r="L622" s="2">
        <v>4</v>
      </c>
      <c r="M622" t="s">
        <v>20</v>
      </c>
      <c r="N622" s="2">
        <v>3</v>
      </c>
    </row>
    <row r="623" spans="1:14">
      <c r="A623" t="s">
        <v>653</v>
      </c>
      <c r="B623" s="1" t="str">
        <f>"51-4193"</f>
        <v>51-4193</v>
      </c>
      <c r="C623" s="1">
        <v>33</v>
      </c>
      <c r="D623" s="1">
        <v>29.6</v>
      </c>
      <c r="E623" s="1">
        <v>-3.4</v>
      </c>
      <c r="F623" s="1">
        <v>-10.4</v>
      </c>
      <c r="G623" s="1">
        <v>3</v>
      </c>
      <c r="H623" s="2">
        <v>37200</v>
      </c>
      <c r="I623" t="s">
        <v>25</v>
      </c>
      <c r="J623" s="2">
        <v>7</v>
      </c>
      <c r="K623" t="s">
        <v>16</v>
      </c>
      <c r="L623" s="2">
        <v>4</v>
      </c>
      <c r="M623" t="s">
        <v>26</v>
      </c>
      <c r="N623" s="2">
        <v>4</v>
      </c>
    </row>
    <row r="624" spans="1:14">
      <c r="A624" t="s">
        <v>654</v>
      </c>
      <c r="B624" s="1" t="str">
        <f>"47-2152"</f>
        <v>47-2152</v>
      </c>
      <c r="C624" s="1">
        <v>469</v>
      </c>
      <c r="D624" s="1">
        <v>478</v>
      </c>
      <c r="E624" s="1">
        <v>9.1</v>
      </c>
      <c r="F624" s="1">
        <v>1.9</v>
      </c>
      <c r="G624" s="1">
        <v>48.6</v>
      </c>
      <c r="H624" s="2">
        <v>59880</v>
      </c>
      <c r="I624" t="s">
        <v>25</v>
      </c>
      <c r="J624" s="2">
        <v>7</v>
      </c>
      <c r="K624" t="s">
        <v>16</v>
      </c>
      <c r="L624" s="2">
        <v>4</v>
      </c>
      <c r="M624" t="s">
        <v>104</v>
      </c>
      <c r="N624" s="2">
        <v>2</v>
      </c>
    </row>
    <row r="625" spans="1:14">
      <c r="A625" t="s">
        <v>655</v>
      </c>
      <c r="B625" s="1" t="str">
        <f>"29-1081"</f>
        <v>29-1081</v>
      </c>
      <c r="C625" s="1">
        <v>11</v>
      </c>
      <c r="D625" s="1">
        <v>11.2</v>
      </c>
      <c r="E625" s="1">
        <v>0.2</v>
      </c>
      <c r="F625" s="1">
        <v>2</v>
      </c>
      <c r="G625" s="1">
        <v>0.3</v>
      </c>
      <c r="H625" s="2">
        <v>145840</v>
      </c>
      <c r="I625" t="s">
        <v>28</v>
      </c>
      <c r="J625" s="2">
        <v>1</v>
      </c>
      <c r="K625" t="s">
        <v>16</v>
      </c>
      <c r="L625" s="2">
        <v>4</v>
      </c>
      <c r="M625" t="s">
        <v>59</v>
      </c>
      <c r="N625" s="2">
        <v>1</v>
      </c>
    </row>
    <row r="626" spans="1:14">
      <c r="A626" t="s">
        <v>656</v>
      </c>
      <c r="B626" s="1" t="str">
        <f>"33-3051"</f>
        <v>33-3051</v>
      </c>
      <c r="C626" s="1">
        <v>684.9</v>
      </c>
      <c r="D626" s="1">
        <v>706.4</v>
      </c>
      <c r="E626" s="1">
        <v>21.5</v>
      </c>
      <c r="F626" s="1">
        <v>3.1</v>
      </c>
      <c r="G626" s="1">
        <v>58.7</v>
      </c>
      <c r="H626" s="2">
        <v>64610</v>
      </c>
      <c r="I626" t="s">
        <v>25</v>
      </c>
      <c r="J626" s="2">
        <v>7</v>
      </c>
      <c r="K626" t="s">
        <v>16</v>
      </c>
      <c r="L626" s="2">
        <v>4</v>
      </c>
      <c r="M626" t="s">
        <v>26</v>
      </c>
      <c r="N626" s="2">
        <v>4</v>
      </c>
    </row>
    <row r="627" spans="1:14">
      <c r="A627" t="s">
        <v>657</v>
      </c>
      <c r="B627" s="1" t="str">
        <f>"25-1065"</f>
        <v>25-1065</v>
      </c>
      <c r="C627" s="1">
        <v>18.2</v>
      </c>
      <c r="D627" s="1">
        <v>19.7</v>
      </c>
      <c r="E627" s="1">
        <v>1.5</v>
      </c>
      <c r="F627" s="1">
        <v>8.4</v>
      </c>
      <c r="G627" s="1">
        <v>1.7</v>
      </c>
      <c r="H627" s="2">
        <v>81980</v>
      </c>
      <c r="I627" t="s">
        <v>28</v>
      </c>
      <c r="J627" s="2">
        <v>1</v>
      </c>
      <c r="K627" t="s">
        <v>16</v>
      </c>
      <c r="L627" s="2">
        <v>4</v>
      </c>
      <c r="M627" t="s">
        <v>16</v>
      </c>
      <c r="N627" s="2">
        <v>6</v>
      </c>
    </row>
    <row r="628" spans="1:14">
      <c r="A628" t="s">
        <v>658</v>
      </c>
      <c r="B628" s="1" t="str">
        <f>"19-3094"</f>
        <v>19-3094</v>
      </c>
      <c r="C628" s="1">
        <v>6.3</v>
      </c>
      <c r="D628" s="1">
        <v>6.7</v>
      </c>
      <c r="E628" s="1">
        <v>0.4</v>
      </c>
      <c r="F628" s="1">
        <v>6.2</v>
      </c>
      <c r="G628" s="1">
        <v>0.6</v>
      </c>
      <c r="H628" s="2">
        <v>122510</v>
      </c>
      <c r="I628" t="s">
        <v>23</v>
      </c>
      <c r="J628" s="2">
        <v>2</v>
      </c>
      <c r="K628" t="s">
        <v>16</v>
      </c>
      <c r="L628" s="2">
        <v>4</v>
      </c>
      <c r="M628" t="s">
        <v>16</v>
      </c>
      <c r="N628" s="2">
        <v>6</v>
      </c>
    </row>
    <row r="629" spans="1:14">
      <c r="A629" t="s">
        <v>659</v>
      </c>
      <c r="B629" s="1" t="str">
        <f>"43-5051"</f>
        <v>43-5051</v>
      </c>
      <c r="C629" s="1">
        <v>76.3</v>
      </c>
      <c r="D629" s="1">
        <v>72.7</v>
      </c>
      <c r="E629" s="1">
        <v>-3.6</v>
      </c>
      <c r="F629" s="1">
        <v>-4.8</v>
      </c>
      <c r="G629" s="1">
        <v>6.4</v>
      </c>
      <c r="H629" s="2">
        <v>52290</v>
      </c>
      <c r="I629" t="s">
        <v>25</v>
      </c>
      <c r="J629" s="2">
        <v>7</v>
      </c>
      <c r="K629" t="s">
        <v>16</v>
      </c>
      <c r="L629" s="2">
        <v>4</v>
      </c>
      <c r="M629" t="s">
        <v>30</v>
      </c>
      <c r="N629" s="2">
        <v>5</v>
      </c>
    </row>
    <row r="630" spans="1:14">
      <c r="A630" t="s">
        <v>660</v>
      </c>
      <c r="B630" s="1" t="str">
        <f>"43-5052"</f>
        <v>43-5052</v>
      </c>
      <c r="C630" s="1">
        <v>322.9</v>
      </c>
      <c r="D630" s="1">
        <v>307.4</v>
      </c>
      <c r="E630" s="1">
        <v>-15.4</v>
      </c>
      <c r="F630" s="1">
        <v>-4.8</v>
      </c>
      <c r="G630" s="1">
        <v>22.8</v>
      </c>
      <c r="H630" s="2">
        <v>52440</v>
      </c>
      <c r="I630" t="s">
        <v>25</v>
      </c>
      <c r="J630" s="2">
        <v>7</v>
      </c>
      <c r="K630" t="s">
        <v>16</v>
      </c>
      <c r="L630" s="2">
        <v>4</v>
      </c>
      <c r="M630" t="s">
        <v>30</v>
      </c>
      <c r="N630" s="2">
        <v>5</v>
      </c>
    </row>
    <row r="631" spans="1:14">
      <c r="A631" t="s">
        <v>661</v>
      </c>
      <c r="B631" s="1" t="str">
        <f>"43-5053"</f>
        <v>43-5053</v>
      </c>
      <c r="C631" s="1">
        <v>107.9</v>
      </c>
      <c r="D631" s="1">
        <v>97.7</v>
      </c>
      <c r="E631" s="1">
        <v>-10.2</v>
      </c>
      <c r="F631" s="1">
        <v>-9.4</v>
      </c>
      <c r="G631" s="1">
        <v>8.9</v>
      </c>
      <c r="H631" s="2">
        <v>48550</v>
      </c>
      <c r="I631" t="s">
        <v>25</v>
      </c>
      <c r="J631" s="2">
        <v>7</v>
      </c>
      <c r="K631" t="s">
        <v>16</v>
      </c>
      <c r="L631" s="2">
        <v>4</v>
      </c>
      <c r="M631" t="s">
        <v>30</v>
      </c>
      <c r="N631" s="2">
        <v>5</v>
      </c>
    </row>
    <row r="632" spans="1:14">
      <c r="A632" t="s">
        <v>662</v>
      </c>
      <c r="B632" s="1" t="str">
        <f>"11-9131"</f>
        <v>11-9131</v>
      </c>
      <c r="C632" s="1">
        <v>12.3</v>
      </c>
      <c r="D632" s="1">
        <v>11.7</v>
      </c>
      <c r="E632" s="1">
        <v>-0.6</v>
      </c>
      <c r="F632" s="1">
        <v>-4.8</v>
      </c>
      <c r="G632" s="1">
        <v>0.9</v>
      </c>
      <c r="H632" s="2">
        <v>80250</v>
      </c>
      <c r="I632" t="s">
        <v>25</v>
      </c>
      <c r="J632" s="2">
        <v>7</v>
      </c>
      <c r="K632" t="s">
        <v>32</v>
      </c>
      <c r="L632" s="2">
        <v>2</v>
      </c>
      <c r="M632" t="s">
        <v>26</v>
      </c>
      <c r="N632" s="2">
        <v>4</v>
      </c>
    </row>
    <row r="633" spans="1:14">
      <c r="A633" t="s">
        <v>663</v>
      </c>
      <c r="B633" s="1" t="str">
        <f>"25-1199"</f>
        <v>25-1199</v>
      </c>
      <c r="C633" s="1">
        <v>253.8</v>
      </c>
      <c r="D633" s="1">
        <v>271.8</v>
      </c>
      <c r="E633" s="1">
        <v>18</v>
      </c>
      <c r="F633" s="1">
        <v>7.1</v>
      </c>
      <c r="G633" s="1">
        <v>23.6</v>
      </c>
      <c r="H633" s="2">
        <v>78160</v>
      </c>
      <c r="I633" t="s">
        <v>28</v>
      </c>
      <c r="J633" s="2">
        <v>1</v>
      </c>
      <c r="K633" t="s">
        <v>16</v>
      </c>
      <c r="L633" s="2">
        <v>4</v>
      </c>
      <c r="M633" t="s">
        <v>16</v>
      </c>
      <c r="N633" s="2">
        <v>6</v>
      </c>
    </row>
    <row r="634" spans="1:14">
      <c r="A634" t="s">
        <v>664</v>
      </c>
      <c r="B634" s="1" t="str">
        <f>"51-4052"</f>
        <v>51-4052</v>
      </c>
      <c r="C634" s="1">
        <v>6.7</v>
      </c>
      <c r="D634" s="1">
        <v>5.9</v>
      </c>
      <c r="E634" s="1">
        <v>-0.8</v>
      </c>
      <c r="F634" s="1">
        <v>-12.5</v>
      </c>
      <c r="G634" s="1">
        <v>0.6</v>
      </c>
      <c r="H634" s="2">
        <v>45850</v>
      </c>
      <c r="I634" t="s">
        <v>25</v>
      </c>
      <c r="J634" s="2">
        <v>7</v>
      </c>
      <c r="K634" t="s">
        <v>16</v>
      </c>
      <c r="L634" s="2">
        <v>4</v>
      </c>
      <c r="M634" t="s">
        <v>26</v>
      </c>
      <c r="N634" s="2">
        <v>4</v>
      </c>
    </row>
    <row r="635" spans="1:14">
      <c r="A635" t="s">
        <v>665</v>
      </c>
      <c r="B635" s="1" t="str">
        <f>"51-8012"</f>
        <v>51-8012</v>
      </c>
      <c r="C635" s="1">
        <v>9.7</v>
      </c>
      <c r="D635" s="1">
        <v>9.1</v>
      </c>
      <c r="E635" s="1">
        <v>-0.6</v>
      </c>
      <c r="F635" s="1">
        <v>-6.6</v>
      </c>
      <c r="G635" s="1">
        <v>0.8</v>
      </c>
      <c r="H635" s="2">
        <v>98530</v>
      </c>
      <c r="I635" t="s">
        <v>25</v>
      </c>
      <c r="J635" s="2">
        <v>7</v>
      </c>
      <c r="K635" t="s">
        <v>16</v>
      </c>
      <c r="L635" s="2">
        <v>4</v>
      </c>
      <c r="M635" t="s">
        <v>20</v>
      </c>
      <c r="N635" s="2">
        <v>3</v>
      </c>
    </row>
    <row r="636" spans="1:14">
      <c r="A636" t="s">
        <v>666</v>
      </c>
      <c r="B636" s="1" t="str">
        <f>"51-8013"</f>
        <v>51-8013</v>
      </c>
      <c r="C636" s="1">
        <v>29.2</v>
      </c>
      <c r="D636" s="1">
        <v>24.7</v>
      </c>
      <c r="E636" s="1">
        <v>-4.5</v>
      </c>
      <c r="F636" s="1">
        <v>-15.5</v>
      </c>
      <c r="G636" s="1">
        <v>2.1</v>
      </c>
      <c r="H636" s="2">
        <v>80850</v>
      </c>
      <c r="I636" t="s">
        <v>25</v>
      </c>
      <c r="J636" s="2">
        <v>7</v>
      </c>
      <c r="K636" t="s">
        <v>16</v>
      </c>
      <c r="L636" s="2">
        <v>4</v>
      </c>
      <c r="M636" t="s">
        <v>20</v>
      </c>
      <c r="N636" s="2">
        <v>3</v>
      </c>
    </row>
    <row r="637" spans="1:14">
      <c r="A637" t="s">
        <v>667</v>
      </c>
      <c r="B637" s="1" t="str">
        <f>"49-9069"</f>
        <v>49-9069</v>
      </c>
      <c r="C637" s="1">
        <v>12.3</v>
      </c>
      <c r="D637" s="1">
        <v>12.6</v>
      </c>
      <c r="E637" s="1">
        <v>0.3</v>
      </c>
      <c r="F637" s="1">
        <v>2.5</v>
      </c>
      <c r="G637" s="1">
        <v>1.3</v>
      </c>
      <c r="H637" s="2">
        <v>57670</v>
      </c>
      <c r="I637" t="s">
        <v>25</v>
      </c>
      <c r="J637" s="2">
        <v>7</v>
      </c>
      <c r="K637" t="s">
        <v>16</v>
      </c>
      <c r="L637" s="2">
        <v>4</v>
      </c>
      <c r="M637" t="s">
        <v>20</v>
      </c>
      <c r="N637" s="2">
        <v>3</v>
      </c>
    </row>
    <row r="638" spans="1:14">
      <c r="A638" t="s">
        <v>668</v>
      </c>
      <c r="B638" s="1" t="str">
        <f>"51-5111"</f>
        <v>51-5111</v>
      </c>
      <c r="C638" s="1">
        <v>26</v>
      </c>
      <c r="D638" s="1">
        <v>20.1</v>
      </c>
      <c r="E638" s="1">
        <v>-5.9</v>
      </c>
      <c r="F638" s="1">
        <v>-22.7</v>
      </c>
      <c r="G638" s="1">
        <v>2.4</v>
      </c>
      <c r="H638" s="2">
        <v>42610</v>
      </c>
      <c r="I638" t="s">
        <v>50</v>
      </c>
      <c r="J638" s="2">
        <v>5</v>
      </c>
      <c r="K638" t="s">
        <v>16</v>
      </c>
      <c r="L638" s="2">
        <v>4</v>
      </c>
      <c r="M638" t="s">
        <v>16</v>
      </c>
      <c r="N638" s="2">
        <v>6</v>
      </c>
    </row>
    <row r="639" spans="1:14">
      <c r="A639" t="s">
        <v>669</v>
      </c>
      <c r="B639" s="1" t="str">
        <f>"25-2011"</f>
        <v>25-2011</v>
      </c>
      <c r="C639" s="1">
        <v>483.1</v>
      </c>
      <c r="D639" s="1">
        <v>556</v>
      </c>
      <c r="E639" s="1">
        <v>72.9</v>
      </c>
      <c r="F639" s="1">
        <v>15.1</v>
      </c>
      <c r="G639" s="1">
        <v>63.1</v>
      </c>
      <c r="H639" s="2">
        <v>30210</v>
      </c>
      <c r="I639" t="s">
        <v>37</v>
      </c>
      <c r="J639" s="2">
        <v>4</v>
      </c>
      <c r="K639" t="s">
        <v>16</v>
      </c>
      <c r="L639" s="2">
        <v>4</v>
      </c>
      <c r="M639" t="s">
        <v>16</v>
      </c>
      <c r="N639" s="2">
        <v>6</v>
      </c>
    </row>
    <row r="640" spans="1:14">
      <c r="A640" t="s">
        <v>670</v>
      </c>
      <c r="B640" s="1" t="str">
        <f>"51-6021"</f>
        <v>51-6021</v>
      </c>
      <c r="C640" s="1">
        <v>27.9</v>
      </c>
      <c r="D640" s="1">
        <v>25.2</v>
      </c>
      <c r="E640" s="1">
        <v>-2.7</v>
      </c>
      <c r="F640" s="1">
        <v>-9.6</v>
      </c>
      <c r="G640" s="1">
        <v>2.9</v>
      </c>
      <c r="H640" s="2">
        <v>28680</v>
      </c>
      <c r="I640" t="s">
        <v>42</v>
      </c>
      <c r="J640" s="2">
        <v>8</v>
      </c>
      <c r="K640" t="s">
        <v>16</v>
      </c>
      <c r="L640" s="2">
        <v>4</v>
      </c>
      <c r="M640" t="s">
        <v>30</v>
      </c>
      <c r="N640" s="2">
        <v>5</v>
      </c>
    </row>
    <row r="641" spans="1:14">
      <c r="A641" t="s">
        <v>671</v>
      </c>
      <c r="B641" s="1" t="str">
        <f>"51-5113"</f>
        <v>51-5113</v>
      </c>
      <c r="C641" s="1">
        <v>42.2</v>
      </c>
      <c r="D641" s="1">
        <v>31.8</v>
      </c>
      <c r="E641" s="1">
        <v>-10.5</v>
      </c>
      <c r="F641" s="1">
        <v>-24.8</v>
      </c>
      <c r="G641" s="1">
        <v>2.8</v>
      </c>
      <c r="H641" s="2">
        <v>36590</v>
      </c>
      <c r="I641" t="s">
        <v>25</v>
      </c>
      <c r="J641" s="2">
        <v>7</v>
      </c>
      <c r="K641" t="s">
        <v>16</v>
      </c>
      <c r="L641" s="2">
        <v>4</v>
      </c>
      <c r="M641" t="s">
        <v>26</v>
      </c>
      <c r="N641" s="2">
        <v>4</v>
      </c>
    </row>
    <row r="642" spans="1:14">
      <c r="A642" t="s">
        <v>672</v>
      </c>
      <c r="B642" s="1" t="str">
        <f>"51-5112"</f>
        <v>51-5112</v>
      </c>
      <c r="C642" s="1">
        <v>153.1</v>
      </c>
      <c r="D642" s="1">
        <v>129.4</v>
      </c>
      <c r="E642" s="1">
        <v>-23.7</v>
      </c>
      <c r="F642" s="1">
        <v>-15.5</v>
      </c>
      <c r="G642" s="1">
        <v>13.2</v>
      </c>
      <c r="H642" s="2">
        <v>37770</v>
      </c>
      <c r="I642" t="s">
        <v>25</v>
      </c>
      <c r="J642" s="2">
        <v>7</v>
      </c>
      <c r="K642" t="s">
        <v>16</v>
      </c>
      <c r="L642" s="2">
        <v>4</v>
      </c>
      <c r="M642" t="s">
        <v>26</v>
      </c>
      <c r="N642" s="2">
        <v>4</v>
      </c>
    </row>
    <row r="643" spans="1:14">
      <c r="A643" t="s">
        <v>673</v>
      </c>
      <c r="B643" s="1" t="str">
        <f>"33-9021"</f>
        <v>33-9021</v>
      </c>
      <c r="C643" s="1">
        <v>37</v>
      </c>
      <c r="D643" s="1">
        <v>39.1</v>
      </c>
      <c r="E643" s="1">
        <v>2.1</v>
      </c>
      <c r="F643" s="1">
        <v>5.6</v>
      </c>
      <c r="G643" s="1">
        <v>3.7</v>
      </c>
      <c r="H643" s="2">
        <v>59380</v>
      </c>
      <c r="I643" t="s">
        <v>25</v>
      </c>
      <c r="J643" s="2">
        <v>7</v>
      </c>
      <c r="K643" t="s">
        <v>32</v>
      </c>
      <c r="L643" s="2">
        <v>2</v>
      </c>
      <c r="M643" t="s">
        <v>26</v>
      </c>
      <c r="N643" s="2">
        <v>4</v>
      </c>
    </row>
    <row r="644" spans="1:14">
      <c r="A644" t="s">
        <v>674</v>
      </c>
      <c r="B644" s="1" t="str">
        <f>"21-1092"</f>
        <v>21-1092</v>
      </c>
      <c r="C644" s="1">
        <v>94.5</v>
      </c>
      <c r="D644" s="1">
        <v>94.6</v>
      </c>
      <c r="E644" s="1">
        <v>0.1</v>
      </c>
      <c r="F644" s="1">
        <v>0.1</v>
      </c>
      <c r="G644" s="1">
        <v>8</v>
      </c>
      <c r="H644" s="2">
        <v>60250</v>
      </c>
      <c r="I644" t="s">
        <v>15</v>
      </c>
      <c r="J644" s="2">
        <v>3</v>
      </c>
      <c r="K644" t="s">
        <v>16</v>
      </c>
      <c r="L644" s="2">
        <v>4</v>
      </c>
      <c r="M644" t="s">
        <v>30</v>
      </c>
      <c r="N644" s="2">
        <v>5</v>
      </c>
    </row>
    <row r="645" spans="1:14">
      <c r="A645" t="s">
        <v>675</v>
      </c>
      <c r="B645" s="1" t="str">
        <f>"43-3061"</f>
        <v>43-3061</v>
      </c>
      <c r="C645" s="1">
        <v>63.9</v>
      </c>
      <c r="D645" s="1">
        <v>59.6</v>
      </c>
      <c r="E645" s="1">
        <v>-4.3</v>
      </c>
      <c r="F645" s="1">
        <v>-6.8</v>
      </c>
      <c r="G645" s="1">
        <v>5.8</v>
      </c>
      <c r="H645" s="2">
        <v>45150</v>
      </c>
      <c r="I645" t="s">
        <v>25</v>
      </c>
      <c r="J645" s="2">
        <v>7</v>
      </c>
      <c r="K645" t="s">
        <v>16</v>
      </c>
      <c r="L645" s="2">
        <v>4</v>
      </c>
      <c r="M645" t="s">
        <v>26</v>
      </c>
      <c r="N645" s="2">
        <v>4</v>
      </c>
    </row>
    <row r="646" spans="1:14">
      <c r="A646" t="s">
        <v>676</v>
      </c>
      <c r="B646" s="1" t="str">
        <f>"27-2012"</f>
        <v>27-2012</v>
      </c>
      <c r="C646" s="1">
        <v>166.2</v>
      </c>
      <c r="D646" s="1">
        <v>178.9</v>
      </c>
      <c r="E646" s="1">
        <v>12.8</v>
      </c>
      <c r="F646" s="1">
        <v>7.7</v>
      </c>
      <c r="G646" s="1">
        <v>17.5</v>
      </c>
      <c r="H646" s="2">
        <v>79000</v>
      </c>
      <c r="I646" t="s">
        <v>15</v>
      </c>
      <c r="J646" s="2">
        <v>3</v>
      </c>
      <c r="K646" t="s">
        <v>32</v>
      </c>
      <c r="L646" s="2">
        <v>2</v>
      </c>
      <c r="M646" t="s">
        <v>16</v>
      </c>
      <c r="N646" s="2">
        <v>6</v>
      </c>
    </row>
    <row r="647" spans="1:14">
      <c r="A647" t="s">
        <v>677</v>
      </c>
      <c r="B647" s="1" t="str">
        <f>"51-9199"</f>
        <v>51-9199</v>
      </c>
      <c r="C647" s="1">
        <v>226.9</v>
      </c>
      <c r="D647" s="1">
        <v>241.6</v>
      </c>
      <c r="E647" s="1">
        <v>14.7</v>
      </c>
      <c r="F647" s="1">
        <v>6.5</v>
      </c>
      <c r="G647" s="1">
        <v>28.3</v>
      </c>
      <c r="H647" s="2">
        <v>32930</v>
      </c>
      <c r="I647" t="s">
        <v>25</v>
      </c>
      <c r="J647" s="2">
        <v>7</v>
      </c>
      <c r="K647" t="s">
        <v>16</v>
      </c>
      <c r="L647" s="2">
        <v>4</v>
      </c>
      <c r="M647" t="s">
        <v>26</v>
      </c>
      <c r="N647" s="2">
        <v>4</v>
      </c>
    </row>
    <row r="648" spans="1:14">
      <c r="A648" t="s">
        <v>678</v>
      </c>
      <c r="B648" s="1" t="str">
        <f>"43-5061"</f>
        <v>43-5061</v>
      </c>
      <c r="C648" s="1">
        <v>377.9</v>
      </c>
      <c r="D648" s="1">
        <v>396.8</v>
      </c>
      <c r="E648" s="1">
        <v>18.9</v>
      </c>
      <c r="F648" s="1">
        <v>5</v>
      </c>
      <c r="G648" s="1">
        <v>44.8</v>
      </c>
      <c r="H648" s="2">
        <v>48040</v>
      </c>
      <c r="I648" t="s">
        <v>25</v>
      </c>
      <c r="J648" s="2">
        <v>7</v>
      </c>
      <c r="K648" t="s">
        <v>16</v>
      </c>
      <c r="L648" s="2">
        <v>4</v>
      </c>
      <c r="M648" t="s">
        <v>26</v>
      </c>
      <c r="N648" s="2">
        <v>4</v>
      </c>
    </row>
    <row r="649" spans="1:14">
      <c r="A649" t="s">
        <v>679</v>
      </c>
      <c r="B649" s="1" t="str">
        <f>"13-1082"</f>
        <v>13-1082</v>
      </c>
      <c r="C649" s="1">
        <v>781.4</v>
      </c>
      <c r="D649" s="1">
        <v>837.6</v>
      </c>
      <c r="E649" s="1">
        <v>56.3</v>
      </c>
      <c r="F649" s="1">
        <v>7.2</v>
      </c>
      <c r="G649" s="1">
        <v>70.4</v>
      </c>
      <c r="H649" s="2">
        <v>94500</v>
      </c>
      <c r="I649" t="s">
        <v>15</v>
      </c>
      <c r="J649" s="2">
        <v>3</v>
      </c>
      <c r="K649" t="s">
        <v>16</v>
      </c>
      <c r="L649" s="2">
        <v>4</v>
      </c>
      <c r="M649" t="s">
        <v>16</v>
      </c>
      <c r="N649" s="2">
        <v>6</v>
      </c>
    </row>
    <row r="650" spans="1:14">
      <c r="A650" t="s">
        <v>680</v>
      </c>
      <c r="B650" s="1" t="str">
        <f>"43-9081"</f>
        <v>43-9081</v>
      </c>
      <c r="C650" s="1">
        <v>10.5</v>
      </c>
      <c r="D650" s="1">
        <v>10.7</v>
      </c>
      <c r="E650" s="1">
        <v>0.2</v>
      </c>
      <c r="F650" s="1">
        <v>2.4</v>
      </c>
      <c r="G650" s="1">
        <v>1.5</v>
      </c>
      <c r="H650" s="2">
        <v>43940</v>
      </c>
      <c r="I650" t="s">
        <v>15</v>
      </c>
      <c r="J650" s="2">
        <v>3</v>
      </c>
      <c r="K650" t="s">
        <v>16</v>
      </c>
      <c r="L650" s="2">
        <v>4</v>
      </c>
      <c r="M650" t="s">
        <v>16</v>
      </c>
      <c r="N650" s="2">
        <v>6</v>
      </c>
    </row>
    <row r="651" spans="1:14">
      <c r="A651" t="s">
        <v>681</v>
      </c>
      <c r="B651" s="1" t="str">
        <f>"13-2020"</f>
        <v>13-2020</v>
      </c>
      <c r="C651" s="1">
        <v>76.1</v>
      </c>
      <c r="D651" s="1">
        <v>79.2</v>
      </c>
      <c r="E651" s="1">
        <v>3.1</v>
      </c>
      <c r="F651" s="1">
        <v>4</v>
      </c>
      <c r="G651" s="1">
        <v>6.8</v>
      </c>
      <c r="H651" s="2">
        <v>61340</v>
      </c>
      <c r="I651" t="s">
        <v>15</v>
      </c>
      <c r="J651" s="2">
        <v>3</v>
      </c>
      <c r="K651" t="s">
        <v>16</v>
      </c>
      <c r="L651" s="2">
        <v>4</v>
      </c>
      <c r="M651" t="s">
        <v>20</v>
      </c>
      <c r="N651" s="2">
        <v>3</v>
      </c>
    </row>
    <row r="652" spans="1:14">
      <c r="A652" t="s">
        <v>682</v>
      </c>
      <c r="B652" s="1" t="str">
        <f>"11-9141"</f>
        <v>11-9141</v>
      </c>
      <c r="C652" s="1">
        <v>392.9</v>
      </c>
      <c r="D652" s="1">
        <v>404</v>
      </c>
      <c r="E652" s="1">
        <v>11.1</v>
      </c>
      <c r="F652" s="1">
        <v>2.8</v>
      </c>
      <c r="G652" s="1">
        <v>33.3</v>
      </c>
      <c r="H652" s="2">
        <v>59230</v>
      </c>
      <c r="I652" t="s">
        <v>25</v>
      </c>
      <c r="J652" s="2">
        <v>7</v>
      </c>
      <c r="K652" t="s">
        <v>32</v>
      </c>
      <c r="L652" s="2">
        <v>2</v>
      </c>
      <c r="M652" t="s">
        <v>16</v>
      </c>
      <c r="N652" s="2">
        <v>6</v>
      </c>
    </row>
    <row r="653" spans="1:14">
      <c r="A653" t="s">
        <v>683</v>
      </c>
      <c r="B653" s="1" t="str">
        <f>"29-1024"</f>
        <v>29-1024</v>
      </c>
      <c r="C653" s="1">
        <v>0.9</v>
      </c>
      <c r="D653" s="1">
        <v>1</v>
      </c>
      <c r="E653" s="1">
        <v>0</v>
      </c>
      <c r="F653" s="1">
        <v>5.1</v>
      </c>
      <c r="G653" s="1">
        <v>0</v>
      </c>
      <c r="H653" s="2">
        <v>100950</v>
      </c>
      <c r="I653" t="s">
        <v>28</v>
      </c>
      <c r="J653" s="2">
        <v>1</v>
      </c>
      <c r="K653" t="s">
        <v>16</v>
      </c>
      <c r="L653" s="2">
        <v>4</v>
      </c>
      <c r="M653" t="s">
        <v>59</v>
      </c>
      <c r="N653" s="2">
        <v>1</v>
      </c>
    </row>
    <row r="654" spans="1:14">
      <c r="A654" t="s">
        <v>684</v>
      </c>
      <c r="B654" s="1" t="str">
        <f>"33-9099"</f>
        <v>33-9099</v>
      </c>
      <c r="C654" s="1">
        <v>101.3</v>
      </c>
      <c r="D654" s="1">
        <v>107.2</v>
      </c>
      <c r="E654" s="1">
        <v>5.8</v>
      </c>
      <c r="F654" s="1">
        <v>5.8</v>
      </c>
      <c r="G654" s="1">
        <v>27.9</v>
      </c>
      <c r="H654" s="2">
        <v>38210</v>
      </c>
      <c r="I654" t="s">
        <v>25</v>
      </c>
      <c r="J654" s="2">
        <v>7</v>
      </c>
      <c r="K654" t="s">
        <v>16</v>
      </c>
      <c r="L654" s="2">
        <v>4</v>
      </c>
      <c r="M654" t="s">
        <v>30</v>
      </c>
      <c r="N654" s="2">
        <v>5</v>
      </c>
    </row>
    <row r="655" spans="1:14">
      <c r="A655" t="s">
        <v>685</v>
      </c>
      <c r="B655" s="1" t="str">
        <f>"31-1133"</f>
        <v>31-1133</v>
      </c>
      <c r="C655" s="1">
        <v>41</v>
      </c>
      <c r="D655" s="1">
        <v>42.9</v>
      </c>
      <c r="E655" s="1">
        <v>1.9</v>
      </c>
      <c r="F655" s="1">
        <v>4.6</v>
      </c>
      <c r="G655" s="1">
        <v>6.7</v>
      </c>
      <c r="H655" s="2">
        <v>30260</v>
      </c>
      <c r="I655" t="s">
        <v>25</v>
      </c>
      <c r="J655" s="2">
        <v>7</v>
      </c>
      <c r="K655" t="s">
        <v>16</v>
      </c>
      <c r="L655" s="2">
        <v>4</v>
      </c>
      <c r="M655" t="s">
        <v>30</v>
      </c>
      <c r="N655" s="2">
        <v>5</v>
      </c>
    </row>
    <row r="656" spans="1:14">
      <c r="A656" t="s">
        <v>686</v>
      </c>
      <c r="B656" s="1" t="str">
        <f>"29-2053"</f>
        <v>29-2053</v>
      </c>
      <c r="C656" s="1">
        <v>98</v>
      </c>
      <c r="D656" s="1">
        <v>108.6</v>
      </c>
      <c r="E656" s="1">
        <v>10.6</v>
      </c>
      <c r="F656" s="1">
        <v>10.9</v>
      </c>
      <c r="G656" s="1">
        <v>9.9</v>
      </c>
      <c r="H656" s="2">
        <v>36570</v>
      </c>
      <c r="I656" t="s">
        <v>50</v>
      </c>
      <c r="J656" s="2">
        <v>5</v>
      </c>
      <c r="K656" t="s">
        <v>32</v>
      </c>
      <c r="L656" s="2">
        <v>2</v>
      </c>
      <c r="M656" t="s">
        <v>30</v>
      </c>
      <c r="N656" s="2">
        <v>5</v>
      </c>
    </row>
    <row r="657" spans="1:14">
      <c r="A657" t="s">
        <v>687</v>
      </c>
      <c r="B657" s="1" t="str">
        <f>"29-1223"</f>
        <v>29-1223</v>
      </c>
      <c r="C657" s="1">
        <v>27.9</v>
      </c>
      <c r="D657" s="1">
        <v>30.3</v>
      </c>
      <c r="E657" s="1">
        <v>2.4</v>
      </c>
      <c r="F657" s="1">
        <v>8.7</v>
      </c>
      <c r="G657" s="1">
        <v>1.1</v>
      </c>
      <c r="H657" s="2" t="s">
        <v>58</v>
      </c>
      <c r="I657" t="s">
        <v>28</v>
      </c>
      <c r="J657" s="2">
        <v>1</v>
      </c>
      <c r="K657" t="s">
        <v>16</v>
      </c>
      <c r="L657" s="2">
        <v>4</v>
      </c>
      <c r="M657" t="s">
        <v>59</v>
      </c>
      <c r="N657" s="2">
        <v>1</v>
      </c>
    </row>
    <row r="658" spans="1:14">
      <c r="A658" t="s">
        <v>688</v>
      </c>
      <c r="B658" s="1" t="str">
        <f>"19-3039"</f>
        <v>19-3039</v>
      </c>
      <c r="C658" s="1">
        <v>55.4</v>
      </c>
      <c r="D658" s="1">
        <v>56.9</v>
      </c>
      <c r="E658" s="1">
        <v>1.5</v>
      </c>
      <c r="F658" s="1">
        <v>2.8</v>
      </c>
      <c r="G658" s="1">
        <v>4</v>
      </c>
      <c r="H658" s="2">
        <v>102900</v>
      </c>
      <c r="I658" t="s">
        <v>23</v>
      </c>
      <c r="J658" s="2">
        <v>2</v>
      </c>
      <c r="K658" t="s">
        <v>16</v>
      </c>
      <c r="L658" s="2">
        <v>4</v>
      </c>
      <c r="M658" t="s">
        <v>59</v>
      </c>
      <c r="N658" s="2">
        <v>1</v>
      </c>
    </row>
    <row r="659" spans="1:14">
      <c r="A659" t="s">
        <v>689</v>
      </c>
      <c r="B659" s="1" t="str">
        <f>"25-1066"</f>
        <v>25-1066</v>
      </c>
      <c r="C659" s="1">
        <v>46.4</v>
      </c>
      <c r="D659" s="1">
        <v>50.8</v>
      </c>
      <c r="E659" s="1">
        <v>4.5</v>
      </c>
      <c r="F659" s="1">
        <v>9.6</v>
      </c>
      <c r="G659" s="1">
        <v>4.5</v>
      </c>
      <c r="H659" s="2">
        <v>77860</v>
      </c>
      <c r="I659" t="s">
        <v>28</v>
      </c>
      <c r="J659" s="2">
        <v>1</v>
      </c>
      <c r="K659" t="s">
        <v>16</v>
      </c>
      <c r="L659" s="2">
        <v>4</v>
      </c>
      <c r="M659" t="s">
        <v>16</v>
      </c>
      <c r="N659" s="2">
        <v>6</v>
      </c>
    </row>
    <row r="660" spans="1:14">
      <c r="A660" t="s">
        <v>690</v>
      </c>
      <c r="B660" s="1" t="str">
        <f>"11-2032"</f>
        <v>11-2032</v>
      </c>
      <c r="C660" s="1">
        <v>66.7</v>
      </c>
      <c r="D660" s="1">
        <v>71.7</v>
      </c>
      <c r="E660" s="1">
        <v>5</v>
      </c>
      <c r="F660" s="1">
        <v>7.6</v>
      </c>
      <c r="G660" s="1">
        <v>6.1</v>
      </c>
      <c r="H660" s="2">
        <v>125780</v>
      </c>
      <c r="I660" t="s">
        <v>15</v>
      </c>
      <c r="J660" s="2">
        <v>3</v>
      </c>
      <c r="K660" t="s">
        <v>29</v>
      </c>
      <c r="L660" s="2">
        <v>1</v>
      </c>
      <c r="M660" t="s">
        <v>16</v>
      </c>
      <c r="N660" s="2">
        <v>6</v>
      </c>
    </row>
    <row r="661" spans="1:14">
      <c r="A661" t="s">
        <v>691</v>
      </c>
      <c r="B661" s="1" t="str">
        <f>"27-3031"</f>
        <v>27-3031</v>
      </c>
      <c r="C661" s="1">
        <v>276.8</v>
      </c>
      <c r="D661" s="1">
        <v>299.2</v>
      </c>
      <c r="E661" s="1">
        <v>22.3</v>
      </c>
      <c r="F661" s="1">
        <v>8.1</v>
      </c>
      <c r="G661" s="1">
        <v>27.4</v>
      </c>
      <c r="H661" s="2">
        <v>62800</v>
      </c>
      <c r="I661" t="s">
        <v>15</v>
      </c>
      <c r="J661" s="2">
        <v>3</v>
      </c>
      <c r="K661" t="s">
        <v>16</v>
      </c>
      <c r="L661" s="2">
        <v>4</v>
      </c>
      <c r="M661" t="s">
        <v>16</v>
      </c>
      <c r="N661" s="2">
        <v>6</v>
      </c>
    </row>
    <row r="662" spans="1:14">
      <c r="A662" t="s">
        <v>692</v>
      </c>
      <c r="B662" s="1" t="str">
        <f>"43-5031"</f>
        <v>43-5031</v>
      </c>
      <c r="C662" s="1">
        <v>99.5</v>
      </c>
      <c r="D662" s="1">
        <v>103.2</v>
      </c>
      <c r="E662" s="1">
        <v>3.6</v>
      </c>
      <c r="F662" s="1">
        <v>3.6</v>
      </c>
      <c r="G662" s="1">
        <v>10.9</v>
      </c>
      <c r="H662" s="2">
        <v>46670</v>
      </c>
      <c r="I662" t="s">
        <v>25</v>
      </c>
      <c r="J662" s="2">
        <v>7</v>
      </c>
      <c r="K662" t="s">
        <v>16</v>
      </c>
      <c r="L662" s="2">
        <v>4</v>
      </c>
      <c r="M662" t="s">
        <v>26</v>
      </c>
      <c r="N662" s="2">
        <v>4</v>
      </c>
    </row>
    <row r="663" spans="1:14">
      <c r="A663" t="s">
        <v>693</v>
      </c>
      <c r="B663" s="1" t="str">
        <f>"53-7072"</f>
        <v>53-7072</v>
      </c>
      <c r="C663" s="1">
        <v>11</v>
      </c>
      <c r="D663" s="1">
        <v>12.3</v>
      </c>
      <c r="E663" s="1">
        <v>1.3</v>
      </c>
      <c r="F663" s="1">
        <v>11.4</v>
      </c>
      <c r="G663" s="1">
        <v>1.5</v>
      </c>
      <c r="H663" s="2">
        <v>49580</v>
      </c>
      <c r="I663" t="s">
        <v>25</v>
      </c>
      <c r="J663" s="2">
        <v>7</v>
      </c>
      <c r="K663" t="s">
        <v>16</v>
      </c>
      <c r="L663" s="2">
        <v>4</v>
      </c>
      <c r="M663" t="s">
        <v>26</v>
      </c>
      <c r="N663" s="2">
        <v>4</v>
      </c>
    </row>
    <row r="664" spans="1:14">
      <c r="A664" t="s">
        <v>694</v>
      </c>
      <c r="B664" s="1" t="str">
        <f>"11-3061"</f>
        <v>11-3061</v>
      </c>
      <c r="C664" s="1">
        <v>72.8</v>
      </c>
      <c r="D664" s="1">
        <v>75.6</v>
      </c>
      <c r="E664" s="1">
        <v>2.8</v>
      </c>
      <c r="F664" s="1">
        <v>3.8</v>
      </c>
      <c r="G664" s="1">
        <v>6.3</v>
      </c>
      <c r="H664" s="2">
        <v>127150</v>
      </c>
      <c r="I664" t="s">
        <v>15</v>
      </c>
      <c r="J664" s="2">
        <v>3</v>
      </c>
      <c r="K664" t="s">
        <v>29</v>
      </c>
      <c r="L664" s="2">
        <v>1</v>
      </c>
      <c r="M664" t="s">
        <v>16</v>
      </c>
      <c r="N664" s="2">
        <v>6</v>
      </c>
    </row>
    <row r="665" spans="1:14">
      <c r="A665" t="s">
        <v>695</v>
      </c>
      <c r="B665" s="1" t="str">
        <f>"29-1124"</f>
        <v>29-1124</v>
      </c>
      <c r="C665" s="1">
        <v>16.4</v>
      </c>
      <c r="D665" s="1">
        <v>17.5</v>
      </c>
      <c r="E665" s="1">
        <v>1</v>
      </c>
      <c r="F665" s="1">
        <v>6.3</v>
      </c>
      <c r="G665" s="1">
        <v>0.8</v>
      </c>
      <c r="H665" s="2">
        <v>82790</v>
      </c>
      <c r="I665" t="s">
        <v>37</v>
      </c>
      <c r="J665" s="2">
        <v>4</v>
      </c>
      <c r="K665" t="s">
        <v>16</v>
      </c>
      <c r="L665" s="2">
        <v>4</v>
      </c>
      <c r="M665" t="s">
        <v>16</v>
      </c>
      <c r="N665" s="2">
        <v>6</v>
      </c>
    </row>
    <row r="666" spans="1:14">
      <c r="A666" t="s">
        <v>696</v>
      </c>
      <c r="B666" s="1" t="str">
        <f>"49-2021"</f>
        <v>49-2021</v>
      </c>
      <c r="C666" s="1">
        <v>14.1</v>
      </c>
      <c r="D666" s="1">
        <v>14.9</v>
      </c>
      <c r="E666" s="1">
        <v>0.8</v>
      </c>
      <c r="F666" s="1">
        <v>5.6</v>
      </c>
      <c r="G666" s="1">
        <v>1.7</v>
      </c>
      <c r="H666" s="2">
        <v>60360</v>
      </c>
      <c r="I666" t="s">
        <v>37</v>
      </c>
      <c r="J666" s="2">
        <v>4</v>
      </c>
      <c r="K666" t="s">
        <v>16</v>
      </c>
      <c r="L666" s="2">
        <v>4</v>
      </c>
      <c r="M666" t="s">
        <v>26</v>
      </c>
      <c r="N666" s="2">
        <v>4</v>
      </c>
    </row>
    <row r="667" spans="1:14">
      <c r="A667" t="s">
        <v>697</v>
      </c>
      <c r="B667" s="1" t="str">
        <f>"29-2034"</f>
        <v>29-2034</v>
      </c>
      <c r="C667" s="1">
        <v>222.8</v>
      </c>
      <c r="D667" s="1">
        <v>236.9</v>
      </c>
      <c r="E667" s="1">
        <v>14.1</v>
      </c>
      <c r="F667" s="1">
        <v>6.3</v>
      </c>
      <c r="G667" s="1">
        <v>13.8</v>
      </c>
      <c r="H667" s="2">
        <v>61370</v>
      </c>
      <c r="I667" t="s">
        <v>37</v>
      </c>
      <c r="J667" s="2">
        <v>4</v>
      </c>
      <c r="K667" t="s">
        <v>16</v>
      </c>
      <c r="L667" s="2">
        <v>4</v>
      </c>
      <c r="M667" t="s">
        <v>16</v>
      </c>
      <c r="N667" s="2">
        <v>6</v>
      </c>
    </row>
    <row r="668" spans="1:14">
      <c r="A668" t="s">
        <v>698</v>
      </c>
      <c r="B668" s="1" t="str">
        <f>"29-1224"</f>
        <v>29-1224</v>
      </c>
      <c r="C668" s="1">
        <v>32.4</v>
      </c>
      <c r="D668" s="1">
        <v>33.6</v>
      </c>
      <c r="E668" s="1">
        <v>1.2</v>
      </c>
      <c r="F668" s="1">
        <v>3.7</v>
      </c>
      <c r="G668" s="1">
        <v>1.1</v>
      </c>
      <c r="H668" s="2" t="s">
        <v>58</v>
      </c>
      <c r="I668" t="s">
        <v>28</v>
      </c>
      <c r="J668" s="2">
        <v>1</v>
      </c>
      <c r="K668" t="s">
        <v>16</v>
      </c>
      <c r="L668" s="2">
        <v>4</v>
      </c>
      <c r="M668" t="s">
        <v>59</v>
      </c>
      <c r="N668" s="2">
        <v>1</v>
      </c>
    </row>
    <row r="669" spans="1:14">
      <c r="A669" t="s">
        <v>699</v>
      </c>
      <c r="B669" s="1" t="str">
        <f>"49-3043"</f>
        <v>49-3043</v>
      </c>
      <c r="C669" s="1">
        <v>20.9</v>
      </c>
      <c r="D669" s="1">
        <v>21.6</v>
      </c>
      <c r="E669" s="1">
        <v>0.8</v>
      </c>
      <c r="F669" s="1">
        <v>3.7</v>
      </c>
      <c r="G669" s="1">
        <v>2.1</v>
      </c>
      <c r="H669" s="2">
        <v>60250</v>
      </c>
      <c r="I669" t="s">
        <v>25</v>
      </c>
      <c r="J669" s="2">
        <v>7</v>
      </c>
      <c r="K669" t="s">
        <v>16</v>
      </c>
      <c r="L669" s="2">
        <v>4</v>
      </c>
      <c r="M669" t="s">
        <v>20</v>
      </c>
      <c r="N669" s="2">
        <v>3</v>
      </c>
    </row>
    <row r="670" spans="1:14">
      <c r="A670" t="s">
        <v>700</v>
      </c>
      <c r="B670" s="1" t="str">
        <f>"53-4099"</f>
        <v>53-4099</v>
      </c>
      <c r="C670" s="1">
        <v>1.2</v>
      </c>
      <c r="D670" s="1">
        <v>1.2</v>
      </c>
      <c r="E670" s="1">
        <v>0</v>
      </c>
      <c r="F670" s="1">
        <v>-1.2</v>
      </c>
      <c r="G670" s="1">
        <v>0.1</v>
      </c>
      <c r="H670" s="2">
        <v>47590</v>
      </c>
      <c r="I670" t="s">
        <v>25</v>
      </c>
      <c r="J670" s="2">
        <v>7</v>
      </c>
      <c r="K670" t="s">
        <v>16</v>
      </c>
      <c r="L670" s="2">
        <v>4</v>
      </c>
      <c r="M670" t="s">
        <v>26</v>
      </c>
      <c r="N670" s="2">
        <v>4</v>
      </c>
    </row>
    <row r="671" spans="1:14">
      <c r="A671" t="s">
        <v>701</v>
      </c>
      <c r="B671" s="1" t="str">
        <f>"53-4013"</f>
        <v>53-4013</v>
      </c>
      <c r="C671" s="1">
        <v>3.8</v>
      </c>
      <c r="D671" s="1">
        <v>3.8</v>
      </c>
      <c r="E671" s="1">
        <v>0.1</v>
      </c>
      <c r="F671" s="1">
        <v>2.1</v>
      </c>
      <c r="G671" s="1">
        <v>0.4</v>
      </c>
      <c r="H671" s="2">
        <v>61090</v>
      </c>
      <c r="I671" t="s">
        <v>25</v>
      </c>
      <c r="J671" s="2">
        <v>7</v>
      </c>
      <c r="K671" t="s">
        <v>16</v>
      </c>
      <c r="L671" s="2">
        <v>4</v>
      </c>
      <c r="M671" t="s">
        <v>26</v>
      </c>
      <c r="N671" s="2">
        <v>4</v>
      </c>
    </row>
    <row r="672" spans="1:14">
      <c r="A672" t="s">
        <v>702</v>
      </c>
      <c r="B672" s="1" t="str">
        <f>"47-4061"</f>
        <v>47-4061</v>
      </c>
      <c r="C672" s="1">
        <v>17</v>
      </c>
      <c r="D672" s="1">
        <v>17.8</v>
      </c>
      <c r="E672" s="1">
        <v>0.7</v>
      </c>
      <c r="F672" s="1">
        <v>4.4</v>
      </c>
      <c r="G672" s="1">
        <v>1.4</v>
      </c>
      <c r="H672" s="2">
        <v>61690</v>
      </c>
      <c r="I672" t="s">
        <v>25</v>
      </c>
      <c r="J672" s="2">
        <v>7</v>
      </c>
      <c r="K672" t="s">
        <v>16</v>
      </c>
      <c r="L672" s="2">
        <v>4</v>
      </c>
      <c r="M672" t="s">
        <v>26</v>
      </c>
      <c r="N672" s="2">
        <v>4</v>
      </c>
    </row>
    <row r="673" spans="1:14">
      <c r="A673" t="s">
        <v>703</v>
      </c>
      <c r="B673" s="1" t="str">
        <f>"53-4022"</f>
        <v>53-4022</v>
      </c>
      <c r="C673" s="1">
        <v>11.8</v>
      </c>
      <c r="D673" s="1">
        <v>11.9</v>
      </c>
      <c r="E673" s="1">
        <v>0.1</v>
      </c>
      <c r="F673" s="1">
        <v>1.2</v>
      </c>
      <c r="G673" s="1">
        <v>1.3</v>
      </c>
      <c r="H673" s="2">
        <v>63840</v>
      </c>
      <c r="I673" t="s">
        <v>25</v>
      </c>
      <c r="J673" s="2">
        <v>7</v>
      </c>
      <c r="K673" t="s">
        <v>16</v>
      </c>
      <c r="L673" s="2">
        <v>4</v>
      </c>
      <c r="M673" t="s">
        <v>26</v>
      </c>
      <c r="N673" s="2">
        <v>4</v>
      </c>
    </row>
    <row r="674" spans="1:14">
      <c r="A674" t="s">
        <v>704</v>
      </c>
      <c r="B674" s="1" t="str">
        <f>"53-4031"</f>
        <v>53-4031</v>
      </c>
      <c r="C674" s="1">
        <v>34.3</v>
      </c>
      <c r="D674" s="1">
        <v>35.9</v>
      </c>
      <c r="E674" s="1">
        <v>1.6</v>
      </c>
      <c r="F674" s="1">
        <v>4.7</v>
      </c>
      <c r="G674" s="1">
        <v>3.2</v>
      </c>
      <c r="H674" s="2">
        <v>63960</v>
      </c>
      <c r="I674" t="s">
        <v>25</v>
      </c>
      <c r="J674" s="2">
        <v>7</v>
      </c>
      <c r="K674" t="s">
        <v>16</v>
      </c>
      <c r="L674" s="2">
        <v>4</v>
      </c>
      <c r="M674" t="s">
        <v>26</v>
      </c>
      <c r="N674" s="2">
        <v>4</v>
      </c>
    </row>
    <row r="675" spans="1:14">
      <c r="A675" t="s">
        <v>705</v>
      </c>
      <c r="B675" s="1" t="str">
        <f>"41-9021"</f>
        <v>41-9021</v>
      </c>
      <c r="C675" s="1">
        <v>123.1</v>
      </c>
      <c r="D675" s="1">
        <v>130.2</v>
      </c>
      <c r="E675" s="1">
        <v>7.1</v>
      </c>
      <c r="F675" s="1">
        <v>5.7</v>
      </c>
      <c r="G675" s="1">
        <v>12.1</v>
      </c>
      <c r="H675" s="2">
        <v>62010</v>
      </c>
      <c r="I675" t="s">
        <v>25</v>
      </c>
      <c r="J675" s="2">
        <v>7</v>
      </c>
      <c r="K675" t="s">
        <v>32</v>
      </c>
      <c r="L675" s="2">
        <v>2</v>
      </c>
      <c r="M675" t="s">
        <v>16</v>
      </c>
      <c r="N675" s="2">
        <v>6</v>
      </c>
    </row>
    <row r="676" spans="1:14">
      <c r="A676" t="s">
        <v>706</v>
      </c>
      <c r="B676" s="1" t="str">
        <f>"41-9022"</f>
        <v>41-9022</v>
      </c>
      <c r="C676" s="1">
        <v>438.9</v>
      </c>
      <c r="D676" s="1">
        <v>462</v>
      </c>
      <c r="E676" s="1">
        <v>23.1</v>
      </c>
      <c r="F676" s="1">
        <v>5.3</v>
      </c>
      <c r="G676" s="1">
        <v>42.8</v>
      </c>
      <c r="H676" s="2">
        <v>48340</v>
      </c>
      <c r="I676" t="s">
        <v>25</v>
      </c>
      <c r="J676" s="2">
        <v>7</v>
      </c>
      <c r="K676" t="s">
        <v>16</v>
      </c>
      <c r="L676" s="2">
        <v>4</v>
      </c>
      <c r="M676" t="s">
        <v>26</v>
      </c>
      <c r="N676" s="2">
        <v>4</v>
      </c>
    </row>
    <row r="677" spans="1:14">
      <c r="A677" t="s">
        <v>707</v>
      </c>
      <c r="B677" s="1" t="str">
        <f>"43-4171"</f>
        <v>43-4171</v>
      </c>
      <c r="C677" s="1">
        <v>1037.1</v>
      </c>
      <c r="D677" s="1">
        <v>1041.4</v>
      </c>
      <c r="E677" s="1">
        <v>4.3</v>
      </c>
      <c r="F677" s="1">
        <v>0.4</v>
      </c>
      <c r="G677" s="1">
        <v>142.3</v>
      </c>
      <c r="H677" s="2">
        <v>29950</v>
      </c>
      <c r="I677" t="s">
        <v>25</v>
      </c>
      <c r="J677" s="2">
        <v>7</v>
      </c>
      <c r="K677" t="s">
        <v>16</v>
      </c>
      <c r="L677" s="2">
        <v>4</v>
      </c>
      <c r="M677" t="s">
        <v>30</v>
      </c>
      <c r="N677" s="2">
        <v>5</v>
      </c>
    </row>
    <row r="678" spans="1:14">
      <c r="A678" t="s">
        <v>708</v>
      </c>
      <c r="B678" s="1" t="str">
        <f>"25-1193"</f>
        <v>25-1193</v>
      </c>
      <c r="C678" s="1">
        <v>17.1</v>
      </c>
      <c r="D678" s="1">
        <v>18.4</v>
      </c>
      <c r="E678" s="1">
        <v>1.2</v>
      </c>
      <c r="F678" s="1">
        <v>7.1</v>
      </c>
      <c r="G678" s="1">
        <v>1.6</v>
      </c>
      <c r="H678" s="2">
        <v>72440</v>
      </c>
      <c r="I678" t="s">
        <v>28</v>
      </c>
      <c r="J678" s="2">
        <v>1</v>
      </c>
      <c r="K678" t="s">
        <v>16</v>
      </c>
      <c r="L678" s="2">
        <v>4</v>
      </c>
      <c r="M678" t="s">
        <v>16</v>
      </c>
      <c r="N678" s="2">
        <v>6</v>
      </c>
    </row>
    <row r="679" spans="1:14">
      <c r="A679" t="s">
        <v>709</v>
      </c>
      <c r="B679" s="1" t="str">
        <f>"39-9032"</f>
        <v>39-9032</v>
      </c>
      <c r="C679" s="1">
        <v>279.6</v>
      </c>
      <c r="D679" s="1">
        <v>307.7</v>
      </c>
      <c r="E679" s="1">
        <v>28.1</v>
      </c>
      <c r="F679" s="1">
        <v>10</v>
      </c>
      <c r="G679" s="1">
        <v>61.7</v>
      </c>
      <c r="H679" s="2">
        <v>29680</v>
      </c>
      <c r="I679" t="s">
        <v>25</v>
      </c>
      <c r="J679" s="2">
        <v>7</v>
      </c>
      <c r="K679" t="s">
        <v>16</v>
      </c>
      <c r="L679" s="2">
        <v>4</v>
      </c>
      <c r="M679" t="s">
        <v>30</v>
      </c>
      <c r="N679" s="2">
        <v>5</v>
      </c>
    </row>
    <row r="680" spans="1:14">
      <c r="A680" t="s">
        <v>710</v>
      </c>
      <c r="B680" s="1" t="str">
        <f>"29-1125"</f>
        <v>29-1125</v>
      </c>
      <c r="C680" s="1">
        <v>17.6</v>
      </c>
      <c r="D680" s="1">
        <v>18.2</v>
      </c>
      <c r="E680" s="1">
        <v>0.6</v>
      </c>
      <c r="F680" s="1">
        <v>3.6</v>
      </c>
      <c r="G680" s="1">
        <v>1.5</v>
      </c>
      <c r="H680" s="2">
        <v>47940</v>
      </c>
      <c r="I680" t="s">
        <v>15</v>
      </c>
      <c r="J680" s="2">
        <v>3</v>
      </c>
      <c r="K680" t="s">
        <v>16</v>
      </c>
      <c r="L680" s="2">
        <v>4</v>
      </c>
      <c r="M680" t="s">
        <v>16</v>
      </c>
      <c r="N680" s="2">
        <v>6</v>
      </c>
    </row>
    <row r="681" spans="1:14">
      <c r="A681" t="s">
        <v>711</v>
      </c>
      <c r="B681" s="1" t="str">
        <f>"49-3092"</f>
        <v>49-3092</v>
      </c>
      <c r="C681" s="1">
        <v>16.7</v>
      </c>
      <c r="D681" s="1">
        <v>18.7</v>
      </c>
      <c r="E681" s="1">
        <v>2</v>
      </c>
      <c r="F681" s="1">
        <v>12.2</v>
      </c>
      <c r="G681" s="1">
        <v>2.2</v>
      </c>
      <c r="H681" s="2">
        <v>43560</v>
      </c>
      <c r="I681" t="s">
        <v>25</v>
      </c>
      <c r="J681" s="2">
        <v>7</v>
      </c>
      <c r="K681" t="s">
        <v>16</v>
      </c>
      <c r="L681" s="2">
        <v>4</v>
      </c>
      <c r="M681" t="s">
        <v>20</v>
      </c>
      <c r="N681" s="2">
        <v>3</v>
      </c>
    </row>
    <row r="682" spans="1:14">
      <c r="A682" t="s">
        <v>712</v>
      </c>
      <c r="B682" s="1" t="str">
        <f>"49-9045"</f>
        <v>49-9045</v>
      </c>
      <c r="C682" s="1">
        <v>0.7</v>
      </c>
      <c r="D682" s="1">
        <v>0.5</v>
      </c>
      <c r="E682" s="1">
        <v>-0.1</v>
      </c>
      <c r="F682" s="1">
        <v>-20.2</v>
      </c>
      <c r="G682" s="1">
        <v>0</v>
      </c>
      <c r="H682" s="2">
        <v>54250</v>
      </c>
      <c r="I682" t="s">
        <v>25</v>
      </c>
      <c r="J682" s="2">
        <v>7</v>
      </c>
      <c r="K682" t="s">
        <v>16</v>
      </c>
      <c r="L682" s="2">
        <v>4</v>
      </c>
      <c r="M682" t="s">
        <v>26</v>
      </c>
      <c r="N682" s="2">
        <v>4</v>
      </c>
    </row>
    <row r="683" spans="1:14">
      <c r="A683" t="s">
        <v>713</v>
      </c>
      <c r="B683" s="1" t="str">
        <f>"53-7081"</f>
        <v>53-7081</v>
      </c>
      <c r="C683" s="1">
        <v>138.7</v>
      </c>
      <c r="D683" s="1">
        <v>146.2</v>
      </c>
      <c r="E683" s="1">
        <v>7.5</v>
      </c>
      <c r="F683" s="1">
        <v>5.4</v>
      </c>
      <c r="G683" s="1">
        <v>20.6</v>
      </c>
      <c r="H683" s="2">
        <v>38500</v>
      </c>
      <c r="I683" t="s">
        <v>42</v>
      </c>
      <c r="J683" s="2">
        <v>8</v>
      </c>
      <c r="K683" t="s">
        <v>16</v>
      </c>
      <c r="L683" s="2">
        <v>4</v>
      </c>
      <c r="M683" t="s">
        <v>30</v>
      </c>
      <c r="N683" s="2">
        <v>5</v>
      </c>
    </row>
    <row r="684" spans="1:14">
      <c r="A684" t="s">
        <v>714</v>
      </c>
      <c r="B684" s="1" t="str">
        <f>"29-1141"</f>
        <v>29-1141</v>
      </c>
      <c r="C684" s="1">
        <v>3130.6</v>
      </c>
      <c r="D684" s="1">
        <v>3326</v>
      </c>
      <c r="E684" s="1">
        <v>195.4</v>
      </c>
      <c r="F684" s="1">
        <v>6.2</v>
      </c>
      <c r="G684" s="1">
        <v>203.2</v>
      </c>
      <c r="H684" s="2">
        <v>77600</v>
      </c>
      <c r="I684" t="s">
        <v>15</v>
      </c>
      <c r="J684" s="2">
        <v>3</v>
      </c>
      <c r="K684" t="s">
        <v>16</v>
      </c>
      <c r="L684" s="2">
        <v>4</v>
      </c>
      <c r="M684" t="s">
        <v>16</v>
      </c>
      <c r="N684" s="2">
        <v>6</v>
      </c>
    </row>
    <row r="685" spans="1:14">
      <c r="A685" t="s">
        <v>715</v>
      </c>
      <c r="B685" s="1" t="str">
        <f>"21-1015"</f>
        <v>21-1015</v>
      </c>
      <c r="C685" s="1">
        <v>93.2</v>
      </c>
      <c r="D685" s="1">
        <v>103</v>
      </c>
      <c r="E685" s="1">
        <v>9.8</v>
      </c>
      <c r="F685" s="1">
        <v>10.5</v>
      </c>
      <c r="G685" s="1">
        <v>9.9</v>
      </c>
      <c r="H685" s="2">
        <v>38560</v>
      </c>
      <c r="I685" t="s">
        <v>23</v>
      </c>
      <c r="J685" s="2">
        <v>2</v>
      </c>
      <c r="K685" t="s">
        <v>16</v>
      </c>
      <c r="L685" s="2">
        <v>4</v>
      </c>
      <c r="M685" t="s">
        <v>16</v>
      </c>
      <c r="N685" s="2">
        <v>6</v>
      </c>
    </row>
    <row r="686" spans="1:14">
      <c r="A686" t="s">
        <v>716</v>
      </c>
      <c r="B686" s="1" t="str">
        <f>"47-2171"</f>
        <v>47-2171</v>
      </c>
      <c r="C686" s="1">
        <v>19.5</v>
      </c>
      <c r="D686" s="1">
        <v>20</v>
      </c>
      <c r="E686" s="1">
        <v>0.6</v>
      </c>
      <c r="F686" s="1">
        <v>3</v>
      </c>
      <c r="G686" s="1">
        <v>1.9</v>
      </c>
      <c r="H686" s="2">
        <v>48830</v>
      </c>
      <c r="I686" t="s">
        <v>25</v>
      </c>
      <c r="J686" s="2">
        <v>7</v>
      </c>
      <c r="K686" t="s">
        <v>16</v>
      </c>
      <c r="L686" s="2">
        <v>4</v>
      </c>
      <c r="M686" t="s">
        <v>104</v>
      </c>
      <c r="N686" s="2">
        <v>2</v>
      </c>
    </row>
    <row r="687" spans="1:14">
      <c r="A687" t="s">
        <v>717</v>
      </c>
      <c r="B687" s="1" t="str">
        <f>"21-2099"</f>
        <v>21-2099</v>
      </c>
      <c r="C687" s="1">
        <v>73.7</v>
      </c>
      <c r="D687" s="1">
        <v>76.6</v>
      </c>
      <c r="E687" s="1">
        <v>2.8</v>
      </c>
      <c r="F687" s="1">
        <v>3.8</v>
      </c>
      <c r="G687" s="1">
        <v>10</v>
      </c>
      <c r="H687" s="2">
        <v>37500</v>
      </c>
      <c r="I687" t="s">
        <v>15</v>
      </c>
      <c r="J687" s="2">
        <v>3</v>
      </c>
      <c r="K687" t="s">
        <v>16</v>
      </c>
      <c r="L687" s="2">
        <v>4</v>
      </c>
      <c r="M687" t="s">
        <v>16</v>
      </c>
      <c r="N687" s="2">
        <v>6</v>
      </c>
    </row>
    <row r="688" spans="1:14">
      <c r="A688" t="s">
        <v>718</v>
      </c>
      <c r="B688" s="1" t="str">
        <f>"43-4181"</f>
        <v>43-4181</v>
      </c>
      <c r="C688" s="1">
        <v>109.2</v>
      </c>
      <c r="D688" s="1">
        <v>117.3</v>
      </c>
      <c r="E688" s="1">
        <v>8.1</v>
      </c>
      <c r="F688" s="1">
        <v>7.4</v>
      </c>
      <c r="G688" s="1">
        <v>14.3</v>
      </c>
      <c r="H688" s="2">
        <v>39900</v>
      </c>
      <c r="I688" t="s">
        <v>25</v>
      </c>
      <c r="J688" s="2">
        <v>7</v>
      </c>
      <c r="K688" t="s">
        <v>16</v>
      </c>
      <c r="L688" s="2">
        <v>4</v>
      </c>
      <c r="M688" t="s">
        <v>30</v>
      </c>
      <c r="N688" s="2">
        <v>5</v>
      </c>
    </row>
    <row r="689" spans="1:14">
      <c r="A689" t="s">
        <v>719</v>
      </c>
      <c r="B689" s="1" t="str">
        <f>"39-9041"</f>
        <v>39-9041</v>
      </c>
      <c r="C689" s="1">
        <v>99.3</v>
      </c>
      <c r="D689" s="1">
        <v>109.2</v>
      </c>
      <c r="E689" s="1">
        <v>9.9</v>
      </c>
      <c r="F689" s="1">
        <v>10</v>
      </c>
      <c r="G689" s="1">
        <v>18.9</v>
      </c>
      <c r="H689" s="2">
        <v>31220</v>
      </c>
      <c r="I689" t="s">
        <v>25</v>
      </c>
      <c r="J689" s="2">
        <v>7</v>
      </c>
      <c r="K689" t="s">
        <v>16</v>
      </c>
      <c r="L689" s="2">
        <v>4</v>
      </c>
      <c r="M689" t="s">
        <v>30</v>
      </c>
      <c r="N689" s="2">
        <v>5</v>
      </c>
    </row>
    <row r="690" spans="1:14">
      <c r="A690" t="s">
        <v>720</v>
      </c>
      <c r="B690" s="1" t="str">
        <f>"29-1126"</f>
        <v>29-1126</v>
      </c>
      <c r="C690" s="1">
        <v>135.8</v>
      </c>
      <c r="D690" s="1">
        <v>154.2</v>
      </c>
      <c r="E690" s="1">
        <v>18.4</v>
      </c>
      <c r="F690" s="1">
        <v>13.6</v>
      </c>
      <c r="G690" s="1">
        <v>9.4</v>
      </c>
      <c r="H690" s="2">
        <v>61830</v>
      </c>
      <c r="I690" t="s">
        <v>37</v>
      </c>
      <c r="J690" s="2">
        <v>4</v>
      </c>
      <c r="K690" t="s">
        <v>16</v>
      </c>
      <c r="L690" s="2">
        <v>4</v>
      </c>
      <c r="M690" t="s">
        <v>16</v>
      </c>
      <c r="N690" s="2">
        <v>6</v>
      </c>
    </row>
    <row r="691" spans="1:14">
      <c r="A691" t="s">
        <v>721</v>
      </c>
      <c r="B691" s="1" t="str">
        <f>"41-2031"</f>
        <v>41-2031</v>
      </c>
      <c r="C691" s="1">
        <v>3855.2</v>
      </c>
      <c r="D691" s="1">
        <v>3847.5</v>
      </c>
      <c r="E691" s="1">
        <v>-7.8</v>
      </c>
      <c r="F691" s="1">
        <v>-0.2</v>
      </c>
      <c r="G691" s="1">
        <v>558.8</v>
      </c>
      <c r="H691" s="2">
        <v>29120</v>
      </c>
      <c r="I691" t="s">
        <v>42</v>
      </c>
      <c r="J691" s="2">
        <v>8</v>
      </c>
      <c r="K691" t="s">
        <v>16</v>
      </c>
      <c r="L691" s="2">
        <v>4</v>
      </c>
      <c r="M691" t="s">
        <v>30</v>
      </c>
      <c r="N691" s="2">
        <v>5</v>
      </c>
    </row>
    <row r="692" spans="1:14">
      <c r="A692" t="s">
        <v>722</v>
      </c>
      <c r="B692" s="1" t="str">
        <f>"49-9096"</f>
        <v>49-9096</v>
      </c>
      <c r="C692" s="1">
        <v>18.5</v>
      </c>
      <c r="D692" s="1">
        <v>19.3</v>
      </c>
      <c r="E692" s="1">
        <v>0.7</v>
      </c>
      <c r="F692" s="1">
        <v>4</v>
      </c>
      <c r="G692" s="1">
        <v>2.2</v>
      </c>
      <c r="H692" s="2">
        <v>48130</v>
      </c>
      <c r="I692" t="s">
        <v>25</v>
      </c>
      <c r="J692" s="2">
        <v>7</v>
      </c>
      <c r="K692" t="s">
        <v>16</v>
      </c>
      <c r="L692" s="2">
        <v>4</v>
      </c>
      <c r="M692" t="s">
        <v>26</v>
      </c>
      <c r="N692" s="2">
        <v>4</v>
      </c>
    </row>
    <row r="693" spans="1:14">
      <c r="A693" t="s">
        <v>723</v>
      </c>
      <c r="B693" s="1" t="str">
        <f>"47-5051"</f>
        <v>47-5051</v>
      </c>
      <c r="C693" s="1">
        <v>4.5</v>
      </c>
      <c r="D693" s="1">
        <v>4.7</v>
      </c>
      <c r="E693" s="1">
        <v>0.2</v>
      </c>
      <c r="F693" s="1">
        <v>4.2</v>
      </c>
      <c r="G693" s="1">
        <v>0.6</v>
      </c>
      <c r="H693" s="2">
        <v>37700</v>
      </c>
      <c r="I693" t="s">
        <v>42</v>
      </c>
      <c r="J693" s="2">
        <v>8</v>
      </c>
      <c r="K693" t="s">
        <v>16</v>
      </c>
      <c r="L693" s="2">
        <v>4</v>
      </c>
      <c r="M693" t="s">
        <v>30</v>
      </c>
      <c r="N693" s="2">
        <v>5</v>
      </c>
    </row>
    <row r="694" spans="1:14">
      <c r="A694" t="s">
        <v>724</v>
      </c>
      <c r="B694" s="1" t="str">
        <f>"51-4023"</f>
        <v>51-4023</v>
      </c>
      <c r="C694" s="1">
        <v>32.1</v>
      </c>
      <c r="D694" s="1">
        <v>28.7</v>
      </c>
      <c r="E694" s="1">
        <v>-3.5</v>
      </c>
      <c r="F694" s="1">
        <v>-10.9</v>
      </c>
      <c r="G694" s="1">
        <v>2.9</v>
      </c>
      <c r="H694" s="2">
        <v>46210</v>
      </c>
      <c r="I694" t="s">
        <v>25</v>
      </c>
      <c r="J694" s="2">
        <v>7</v>
      </c>
      <c r="K694" t="s">
        <v>16</v>
      </c>
      <c r="L694" s="2">
        <v>4</v>
      </c>
      <c r="M694" t="s">
        <v>26</v>
      </c>
      <c r="N694" s="2">
        <v>4</v>
      </c>
    </row>
    <row r="695" spans="1:14">
      <c r="A695" t="s">
        <v>725</v>
      </c>
      <c r="B695" s="1" t="str">
        <f>"47-5043"</f>
        <v>47-5043</v>
      </c>
      <c r="C695" s="1">
        <v>1.9</v>
      </c>
      <c r="D695" s="1">
        <v>1.5</v>
      </c>
      <c r="E695" s="1">
        <v>-0.4</v>
      </c>
      <c r="F695" s="1">
        <v>-21.5</v>
      </c>
      <c r="G695" s="1">
        <v>0.2</v>
      </c>
      <c r="H695" s="2">
        <v>59770</v>
      </c>
      <c r="I695" t="s">
        <v>25</v>
      </c>
      <c r="J695" s="2">
        <v>7</v>
      </c>
      <c r="K695" t="s">
        <v>16</v>
      </c>
      <c r="L695" s="2">
        <v>4</v>
      </c>
      <c r="M695" t="s">
        <v>26</v>
      </c>
      <c r="N695" s="2">
        <v>4</v>
      </c>
    </row>
    <row r="696" spans="1:14">
      <c r="A696" t="s">
        <v>726</v>
      </c>
      <c r="B696" s="1" t="str">
        <f>"47-2181"</f>
        <v>47-2181</v>
      </c>
      <c r="C696" s="1">
        <v>158.8</v>
      </c>
      <c r="D696" s="1">
        <v>161.1</v>
      </c>
      <c r="E696" s="1">
        <v>2.3</v>
      </c>
      <c r="F696" s="1">
        <v>1.4</v>
      </c>
      <c r="G696" s="1">
        <v>15</v>
      </c>
      <c r="H696" s="2">
        <v>47110</v>
      </c>
      <c r="I696" t="s">
        <v>42</v>
      </c>
      <c r="J696" s="2">
        <v>8</v>
      </c>
      <c r="K696" t="s">
        <v>16</v>
      </c>
      <c r="L696" s="2">
        <v>4</v>
      </c>
      <c r="M696" t="s">
        <v>26</v>
      </c>
      <c r="N696" s="2">
        <v>4</v>
      </c>
    </row>
    <row r="697" spans="1:14">
      <c r="A697" t="s">
        <v>727</v>
      </c>
      <c r="B697" s="1" t="str">
        <f>"47-5012"</f>
        <v>47-5012</v>
      </c>
      <c r="C697" s="1">
        <v>12.1</v>
      </c>
      <c r="D697" s="1">
        <v>14.3</v>
      </c>
      <c r="E697" s="1">
        <v>2.1</v>
      </c>
      <c r="F697" s="1">
        <v>17.6</v>
      </c>
      <c r="G697" s="1">
        <v>1.7</v>
      </c>
      <c r="H697" s="2">
        <v>56380</v>
      </c>
      <c r="I697" t="s">
        <v>42</v>
      </c>
      <c r="J697" s="2">
        <v>8</v>
      </c>
      <c r="K697" t="s">
        <v>16</v>
      </c>
      <c r="L697" s="2">
        <v>4</v>
      </c>
      <c r="M697" t="s">
        <v>26</v>
      </c>
      <c r="N697" s="2">
        <v>4</v>
      </c>
    </row>
    <row r="698" spans="1:14">
      <c r="A698" t="s">
        <v>728</v>
      </c>
      <c r="B698" s="1" t="str">
        <f>"47-5071"</f>
        <v>47-5071</v>
      </c>
      <c r="C698" s="1">
        <v>37.3</v>
      </c>
      <c r="D698" s="1">
        <v>45.9</v>
      </c>
      <c r="E698" s="1">
        <v>8.6</v>
      </c>
      <c r="F698" s="1">
        <v>23</v>
      </c>
      <c r="G698" s="1">
        <v>5.6</v>
      </c>
      <c r="H698" s="2">
        <v>38920</v>
      </c>
      <c r="I698" t="s">
        <v>42</v>
      </c>
      <c r="J698" s="2">
        <v>8</v>
      </c>
      <c r="K698" t="s">
        <v>16</v>
      </c>
      <c r="L698" s="2">
        <v>4</v>
      </c>
      <c r="M698" t="s">
        <v>26</v>
      </c>
      <c r="N698" s="2">
        <v>4</v>
      </c>
    </row>
    <row r="699" spans="1:14">
      <c r="A699" t="s">
        <v>729</v>
      </c>
      <c r="B699" s="1" t="str">
        <f>"53-5011"</f>
        <v>53-5011</v>
      </c>
      <c r="C699" s="1">
        <v>27.6</v>
      </c>
      <c r="D699" s="1">
        <v>27.7</v>
      </c>
      <c r="E699" s="1">
        <v>0.1</v>
      </c>
      <c r="F699" s="1">
        <v>0.4</v>
      </c>
      <c r="G699" s="1">
        <v>3.3</v>
      </c>
      <c r="H699" s="2">
        <v>46720</v>
      </c>
      <c r="I699" t="s">
        <v>42</v>
      </c>
      <c r="J699" s="2">
        <v>8</v>
      </c>
      <c r="K699" t="s">
        <v>16</v>
      </c>
      <c r="L699" s="2">
        <v>4</v>
      </c>
      <c r="M699" t="s">
        <v>26</v>
      </c>
      <c r="N699" s="2">
        <v>4</v>
      </c>
    </row>
    <row r="700" spans="1:14">
      <c r="A700" t="s">
        <v>730</v>
      </c>
      <c r="B700" s="1" t="str">
        <f>"41-9099"</f>
        <v>41-9099</v>
      </c>
      <c r="C700" s="1">
        <v>260.5</v>
      </c>
      <c r="D700" s="1">
        <v>268</v>
      </c>
      <c r="E700" s="1">
        <v>7.5</v>
      </c>
      <c r="F700" s="1">
        <v>2.9</v>
      </c>
      <c r="G700" s="1">
        <v>36.6</v>
      </c>
      <c r="H700" s="2">
        <v>29570</v>
      </c>
      <c r="I700" t="s">
        <v>25</v>
      </c>
      <c r="J700" s="2">
        <v>7</v>
      </c>
      <c r="K700" t="s">
        <v>16</v>
      </c>
      <c r="L700" s="2">
        <v>4</v>
      </c>
      <c r="M700" t="s">
        <v>16</v>
      </c>
      <c r="N700" s="2">
        <v>6</v>
      </c>
    </row>
    <row r="701" spans="1:14">
      <c r="A701" t="s">
        <v>731</v>
      </c>
      <c r="B701" s="1" t="str">
        <f>"41-9031"</f>
        <v>41-9031</v>
      </c>
      <c r="C701" s="1">
        <v>60.7</v>
      </c>
      <c r="D701" s="1">
        <v>64.1</v>
      </c>
      <c r="E701" s="1">
        <v>3.4</v>
      </c>
      <c r="F701" s="1">
        <v>5.7</v>
      </c>
      <c r="G701" s="1">
        <v>6.9</v>
      </c>
      <c r="H701" s="2">
        <v>103710</v>
      </c>
      <c r="I701" t="s">
        <v>15</v>
      </c>
      <c r="J701" s="2">
        <v>3</v>
      </c>
      <c r="K701" t="s">
        <v>16</v>
      </c>
      <c r="L701" s="2">
        <v>4</v>
      </c>
      <c r="M701" t="s">
        <v>26</v>
      </c>
      <c r="N701" s="2">
        <v>4</v>
      </c>
    </row>
    <row r="702" spans="1:14">
      <c r="A702" t="s">
        <v>732</v>
      </c>
      <c r="B702" s="1" t="str">
        <f>"11-2022"</f>
        <v>11-2022</v>
      </c>
      <c r="C702" s="1">
        <v>469.8</v>
      </c>
      <c r="D702" s="1">
        <v>493.6</v>
      </c>
      <c r="E702" s="1">
        <v>23.8</v>
      </c>
      <c r="F702" s="1">
        <v>5.1</v>
      </c>
      <c r="G702" s="1">
        <v>41.9</v>
      </c>
      <c r="H702" s="2">
        <v>127490</v>
      </c>
      <c r="I702" t="s">
        <v>15</v>
      </c>
      <c r="J702" s="2">
        <v>3</v>
      </c>
      <c r="K702" t="s">
        <v>32</v>
      </c>
      <c r="L702" s="2">
        <v>2</v>
      </c>
      <c r="M702" t="s">
        <v>16</v>
      </c>
      <c r="N702" s="2">
        <v>6</v>
      </c>
    </row>
    <row r="703" spans="1:14">
      <c r="A703" t="s">
        <v>733</v>
      </c>
      <c r="B703" s="1" t="str">
        <f>"41-3091"</f>
        <v>41-3091</v>
      </c>
      <c r="C703" s="1">
        <v>1063.9</v>
      </c>
      <c r="D703" s="1">
        <v>1135.3</v>
      </c>
      <c r="E703" s="1">
        <v>71.4</v>
      </c>
      <c r="F703" s="1">
        <v>6.7</v>
      </c>
      <c r="G703" s="1">
        <v>125.3</v>
      </c>
      <c r="H703" s="2">
        <v>60550</v>
      </c>
      <c r="I703" t="s">
        <v>25</v>
      </c>
      <c r="J703" s="2">
        <v>7</v>
      </c>
      <c r="K703" t="s">
        <v>16</v>
      </c>
      <c r="L703" s="2">
        <v>4</v>
      </c>
      <c r="M703" t="s">
        <v>26</v>
      </c>
      <c r="N703" s="2">
        <v>4</v>
      </c>
    </row>
    <row r="704" spans="1:14">
      <c r="A704" t="s">
        <v>734</v>
      </c>
      <c r="B704" s="1" t="str">
        <f>"41-4012"</f>
        <v>41-4012</v>
      </c>
      <c r="C704" s="1">
        <v>1316.9</v>
      </c>
      <c r="D704" s="1">
        <v>1365.8</v>
      </c>
      <c r="E704" s="1">
        <v>48.9</v>
      </c>
      <c r="F704" s="1">
        <v>3.7</v>
      </c>
      <c r="G704" s="1">
        <v>139.7</v>
      </c>
      <c r="H704" s="2">
        <v>61600</v>
      </c>
      <c r="I704" t="s">
        <v>25</v>
      </c>
      <c r="J704" s="2">
        <v>7</v>
      </c>
      <c r="K704" t="s">
        <v>16</v>
      </c>
      <c r="L704" s="2">
        <v>4</v>
      </c>
      <c r="M704" t="s">
        <v>26</v>
      </c>
      <c r="N704" s="2">
        <v>4</v>
      </c>
    </row>
    <row r="705" spans="1:14">
      <c r="A705" t="s">
        <v>735</v>
      </c>
      <c r="B705" s="1" t="str">
        <f>"41-4011"</f>
        <v>41-4011</v>
      </c>
      <c r="C705" s="1">
        <v>280.7</v>
      </c>
      <c r="D705" s="1">
        <v>295.1</v>
      </c>
      <c r="E705" s="1">
        <v>14.4</v>
      </c>
      <c r="F705" s="1">
        <v>5.1</v>
      </c>
      <c r="G705" s="1">
        <v>30.4</v>
      </c>
      <c r="H705" s="2">
        <v>94840</v>
      </c>
      <c r="I705" t="s">
        <v>15</v>
      </c>
      <c r="J705" s="2">
        <v>3</v>
      </c>
      <c r="K705" t="s">
        <v>16</v>
      </c>
      <c r="L705" s="2">
        <v>4</v>
      </c>
      <c r="M705" t="s">
        <v>26</v>
      </c>
      <c r="N705" s="2">
        <v>4</v>
      </c>
    </row>
    <row r="706" spans="1:14">
      <c r="A706" t="s">
        <v>736</v>
      </c>
      <c r="B706" s="1" t="str">
        <f>"51-7041"</f>
        <v>51-7041</v>
      </c>
      <c r="C706" s="1">
        <v>47.1</v>
      </c>
      <c r="D706" s="1">
        <v>49</v>
      </c>
      <c r="E706" s="1">
        <v>1.9</v>
      </c>
      <c r="F706" s="1">
        <v>4.1</v>
      </c>
      <c r="G706" s="1">
        <v>5.7</v>
      </c>
      <c r="H706" s="2">
        <v>35340</v>
      </c>
      <c r="I706" t="s">
        <v>25</v>
      </c>
      <c r="J706" s="2">
        <v>7</v>
      </c>
      <c r="K706" t="s">
        <v>16</v>
      </c>
      <c r="L706" s="2">
        <v>4</v>
      </c>
      <c r="M706" t="s">
        <v>26</v>
      </c>
      <c r="N706" s="2">
        <v>4</v>
      </c>
    </row>
    <row r="707" spans="1:14">
      <c r="A707" t="s">
        <v>737</v>
      </c>
      <c r="B707" s="1" t="str">
        <f>"33-9094"</f>
        <v>33-9094</v>
      </c>
      <c r="C707" s="1">
        <v>53.5</v>
      </c>
      <c r="D707" s="1">
        <v>57.1</v>
      </c>
      <c r="E707" s="1">
        <v>3.6</v>
      </c>
      <c r="F707" s="1">
        <v>6.7</v>
      </c>
      <c r="G707" s="1">
        <v>11.6</v>
      </c>
      <c r="H707" s="2">
        <v>29100</v>
      </c>
      <c r="I707" t="s">
        <v>25</v>
      </c>
      <c r="J707" s="2">
        <v>7</v>
      </c>
      <c r="K707" t="s">
        <v>16</v>
      </c>
      <c r="L707" s="2">
        <v>4</v>
      </c>
      <c r="M707" t="s">
        <v>30</v>
      </c>
      <c r="N707" s="2">
        <v>5</v>
      </c>
    </row>
    <row r="708" spans="1:14">
      <c r="A708" t="s">
        <v>738</v>
      </c>
      <c r="B708" s="1" t="str">
        <f>"19-3034"</f>
        <v>19-3034</v>
      </c>
      <c r="C708" s="1">
        <v>57.9</v>
      </c>
      <c r="D708" s="1">
        <v>61.1</v>
      </c>
      <c r="E708" s="1">
        <v>3.2</v>
      </c>
      <c r="F708" s="1">
        <v>5.5</v>
      </c>
      <c r="G708" s="1">
        <v>4.8</v>
      </c>
      <c r="H708" s="2">
        <v>78780</v>
      </c>
      <c r="I708" t="s">
        <v>23</v>
      </c>
      <c r="J708" s="2">
        <v>2</v>
      </c>
      <c r="K708" t="s">
        <v>16</v>
      </c>
      <c r="L708" s="2">
        <v>4</v>
      </c>
      <c r="M708" t="s">
        <v>59</v>
      </c>
      <c r="N708" s="2">
        <v>1</v>
      </c>
    </row>
    <row r="709" spans="1:14">
      <c r="A709" t="s">
        <v>739</v>
      </c>
      <c r="B709" s="1" t="str">
        <f>"25-2031"</f>
        <v>25-2031</v>
      </c>
      <c r="C709" s="1">
        <v>1058.3</v>
      </c>
      <c r="D709" s="1">
        <v>1107</v>
      </c>
      <c r="E709" s="1">
        <v>48.7</v>
      </c>
      <c r="F709" s="1">
        <v>4.6</v>
      </c>
      <c r="G709" s="1">
        <v>77.9</v>
      </c>
      <c r="H709" s="2">
        <v>61820</v>
      </c>
      <c r="I709" t="s">
        <v>15</v>
      </c>
      <c r="J709" s="2">
        <v>3</v>
      </c>
      <c r="K709" t="s">
        <v>16</v>
      </c>
      <c r="L709" s="2">
        <v>4</v>
      </c>
      <c r="M709" t="s">
        <v>16</v>
      </c>
      <c r="N709" s="2">
        <v>6</v>
      </c>
    </row>
    <row r="710" spans="1:14">
      <c r="A710" t="s">
        <v>740</v>
      </c>
      <c r="B710" s="1" t="str">
        <f>"43-6014"</f>
        <v>43-6014</v>
      </c>
      <c r="C710" s="1">
        <v>2075.6</v>
      </c>
      <c r="D710" s="1">
        <v>1868</v>
      </c>
      <c r="E710" s="1">
        <v>-207.6</v>
      </c>
      <c r="F710" s="1">
        <v>-10</v>
      </c>
      <c r="G710" s="1">
        <v>211.2</v>
      </c>
      <c r="H710" s="2">
        <v>37880</v>
      </c>
      <c r="I710" t="s">
        <v>25</v>
      </c>
      <c r="J710" s="2">
        <v>7</v>
      </c>
      <c r="K710" t="s">
        <v>16</v>
      </c>
      <c r="L710" s="2">
        <v>4</v>
      </c>
      <c r="M710" t="s">
        <v>30</v>
      </c>
      <c r="N710" s="2">
        <v>5</v>
      </c>
    </row>
    <row r="711" spans="1:14">
      <c r="A711" t="s">
        <v>741</v>
      </c>
      <c r="B711" s="1" t="str">
        <f>"41-3031"</f>
        <v>41-3031</v>
      </c>
      <c r="C711" s="1">
        <v>466.9</v>
      </c>
      <c r="D711" s="1">
        <v>514.5</v>
      </c>
      <c r="E711" s="1">
        <v>47.7</v>
      </c>
      <c r="F711" s="1">
        <v>10.2</v>
      </c>
      <c r="G711" s="1">
        <v>46.6</v>
      </c>
      <c r="H711" s="2">
        <v>62910</v>
      </c>
      <c r="I711" t="s">
        <v>15</v>
      </c>
      <c r="J711" s="2">
        <v>3</v>
      </c>
      <c r="K711" t="s">
        <v>16</v>
      </c>
      <c r="L711" s="2">
        <v>4</v>
      </c>
      <c r="M711" t="s">
        <v>26</v>
      </c>
      <c r="N711" s="2">
        <v>4</v>
      </c>
    </row>
    <row r="712" spans="1:14">
      <c r="A712" t="s">
        <v>742</v>
      </c>
      <c r="B712" s="1" t="str">
        <f>"49-2098"</f>
        <v>49-2098</v>
      </c>
      <c r="C712" s="1">
        <v>82.9</v>
      </c>
      <c r="D712" s="1">
        <v>86.7</v>
      </c>
      <c r="E712" s="1">
        <v>3.9</v>
      </c>
      <c r="F712" s="1">
        <v>4.7</v>
      </c>
      <c r="G712" s="1">
        <v>9.4</v>
      </c>
      <c r="H712" s="2">
        <v>48320</v>
      </c>
      <c r="I712" t="s">
        <v>25</v>
      </c>
      <c r="J712" s="2">
        <v>7</v>
      </c>
      <c r="K712" t="s">
        <v>16</v>
      </c>
      <c r="L712" s="2">
        <v>4</v>
      </c>
      <c r="M712" t="s">
        <v>26</v>
      </c>
      <c r="N712" s="2">
        <v>4</v>
      </c>
    </row>
    <row r="713" spans="1:14">
      <c r="A713" t="s">
        <v>743</v>
      </c>
      <c r="B713" s="1" t="str">
        <f>"33-9032"</f>
        <v>33-9032</v>
      </c>
      <c r="C713" s="1">
        <v>1077.7</v>
      </c>
      <c r="D713" s="1">
        <v>1114.9</v>
      </c>
      <c r="E713" s="1">
        <v>37.2</v>
      </c>
      <c r="F713" s="1">
        <v>3.4</v>
      </c>
      <c r="G713" s="1">
        <v>154.5</v>
      </c>
      <c r="H713" s="2">
        <v>31470</v>
      </c>
      <c r="I713" t="s">
        <v>25</v>
      </c>
      <c r="J713" s="2">
        <v>7</v>
      </c>
      <c r="K713" t="s">
        <v>16</v>
      </c>
      <c r="L713" s="2">
        <v>4</v>
      </c>
      <c r="M713" t="s">
        <v>30</v>
      </c>
      <c r="N713" s="2">
        <v>5</v>
      </c>
    </row>
    <row r="714" spans="1:14">
      <c r="A714" t="s">
        <v>744</v>
      </c>
      <c r="B714" s="1" t="str">
        <f>"25-3021"</f>
        <v>25-3021</v>
      </c>
      <c r="C714" s="1">
        <v>347.1</v>
      </c>
      <c r="D714" s="1">
        <v>408.3</v>
      </c>
      <c r="E714" s="1">
        <v>61.3</v>
      </c>
      <c r="F714" s="1">
        <v>17.6</v>
      </c>
      <c r="G714" s="1">
        <v>49</v>
      </c>
      <c r="H714" s="2">
        <v>43580</v>
      </c>
      <c r="I714" t="s">
        <v>25</v>
      </c>
      <c r="J714" s="2">
        <v>7</v>
      </c>
      <c r="K714" t="s">
        <v>32</v>
      </c>
      <c r="L714" s="2">
        <v>2</v>
      </c>
      <c r="M714" t="s">
        <v>16</v>
      </c>
      <c r="N714" s="2">
        <v>6</v>
      </c>
    </row>
    <row r="715" spans="1:14">
      <c r="A715" t="s">
        <v>745</v>
      </c>
      <c r="B715" s="1" t="str">
        <f>"51-9141"</f>
        <v>51-9141</v>
      </c>
      <c r="C715" s="1">
        <v>27</v>
      </c>
      <c r="D715" s="1">
        <v>27.9</v>
      </c>
      <c r="E715" s="1">
        <v>0.9</v>
      </c>
      <c r="F715" s="1">
        <v>3.4</v>
      </c>
      <c r="G715" s="1">
        <v>3.2</v>
      </c>
      <c r="H715" s="2">
        <v>39870</v>
      </c>
      <c r="I715" t="s">
        <v>25</v>
      </c>
      <c r="J715" s="2">
        <v>7</v>
      </c>
      <c r="K715" t="s">
        <v>16</v>
      </c>
      <c r="L715" s="2">
        <v>4</v>
      </c>
      <c r="M715" t="s">
        <v>26</v>
      </c>
      <c r="N715" s="2">
        <v>4</v>
      </c>
    </row>
    <row r="716" spans="1:14">
      <c r="A716" t="s">
        <v>746</v>
      </c>
      <c r="B716" s="1" t="str">
        <f>"51-9012"</f>
        <v>51-9012</v>
      </c>
      <c r="C716" s="1">
        <v>51.6</v>
      </c>
      <c r="D716" s="1">
        <v>52</v>
      </c>
      <c r="E716" s="1">
        <v>0.5</v>
      </c>
      <c r="F716" s="1">
        <v>0.9</v>
      </c>
      <c r="G716" s="1">
        <v>5.4</v>
      </c>
      <c r="H716" s="2">
        <v>46030</v>
      </c>
      <c r="I716" t="s">
        <v>25</v>
      </c>
      <c r="J716" s="2">
        <v>7</v>
      </c>
      <c r="K716" t="s">
        <v>16</v>
      </c>
      <c r="L716" s="2">
        <v>4</v>
      </c>
      <c r="M716" t="s">
        <v>26</v>
      </c>
      <c r="N716" s="2">
        <v>4</v>
      </c>
    </row>
    <row r="717" spans="1:14">
      <c r="A717" t="s">
        <v>747</v>
      </c>
      <c r="B717" s="1" t="str">
        <f>"47-4071"</f>
        <v>47-4071</v>
      </c>
      <c r="C717" s="1">
        <v>30.1</v>
      </c>
      <c r="D717" s="1">
        <v>32.2</v>
      </c>
      <c r="E717" s="1">
        <v>2.1</v>
      </c>
      <c r="F717" s="1">
        <v>6.8</v>
      </c>
      <c r="G717" s="1">
        <v>3.6</v>
      </c>
      <c r="H717" s="2">
        <v>44810</v>
      </c>
      <c r="I717" t="s">
        <v>25</v>
      </c>
      <c r="J717" s="2">
        <v>7</v>
      </c>
      <c r="K717" t="s">
        <v>16</v>
      </c>
      <c r="L717" s="2">
        <v>4</v>
      </c>
      <c r="M717" t="s">
        <v>26</v>
      </c>
      <c r="N717" s="2">
        <v>4</v>
      </c>
    </row>
    <row r="718" spans="1:14">
      <c r="A718" t="s">
        <v>748</v>
      </c>
      <c r="B718" s="1" t="str">
        <f>"47-5013"</f>
        <v>47-5013</v>
      </c>
      <c r="C718" s="1">
        <v>35.7</v>
      </c>
      <c r="D718" s="1">
        <v>42</v>
      </c>
      <c r="E718" s="1">
        <v>6.3</v>
      </c>
      <c r="F718" s="1">
        <v>17.5</v>
      </c>
      <c r="G718" s="1">
        <v>5.1</v>
      </c>
      <c r="H718" s="2">
        <v>48410</v>
      </c>
      <c r="I718" t="s">
        <v>42</v>
      </c>
      <c r="J718" s="2">
        <v>8</v>
      </c>
      <c r="K718" t="s">
        <v>16</v>
      </c>
      <c r="L718" s="2">
        <v>4</v>
      </c>
      <c r="M718" t="s">
        <v>26</v>
      </c>
      <c r="N718" s="2">
        <v>4</v>
      </c>
    </row>
    <row r="719" spans="1:14">
      <c r="A719" t="s">
        <v>749</v>
      </c>
      <c r="B719" s="1" t="str">
        <f>"27-1027"</f>
        <v>27-1027</v>
      </c>
      <c r="C719" s="1">
        <v>27</v>
      </c>
      <c r="D719" s="1">
        <v>28.5</v>
      </c>
      <c r="E719" s="1">
        <v>1.4</v>
      </c>
      <c r="F719" s="1">
        <v>5.2</v>
      </c>
      <c r="G719" s="1">
        <v>2.7</v>
      </c>
      <c r="H719" s="2">
        <v>54860</v>
      </c>
      <c r="I719" t="s">
        <v>15</v>
      </c>
      <c r="J719" s="2">
        <v>3</v>
      </c>
      <c r="K719" t="s">
        <v>16</v>
      </c>
      <c r="L719" s="2">
        <v>4</v>
      </c>
      <c r="M719" t="s">
        <v>16</v>
      </c>
      <c r="N719" s="2">
        <v>6</v>
      </c>
    </row>
    <row r="720" spans="1:14">
      <c r="A720" t="s">
        <v>750</v>
      </c>
      <c r="B720" s="1" t="str">
        <f>"51-6051"</f>
        <v>51-6051</v>
      </c>
      <c r="C720" s="1">
        <v>8.5</v>
      </c>
      <c r="D720" s="1">
        <v>8.4</v>
      </c>
      <c r="E720" s="1">
        <v>-0.1</v>
      </c>
      <c r="F720" s="1">
        <v>-1</v>
      </c>
      <c r="G720" s="1">
        <v>1.2</v>
      </c>
      <c r="H720" s="2">
        <v>29930</v>
      </c>
      <c r="I720" t="s">
        <v>42</v>
      </c>
      <c r="J720" s="2">
        <v>8</v>
      </c>
      <c r="K720" t="s">
        <v>16</v>
      </c>
      <c r="L720" s="2">
        <v>4</v>
      </c>
      <c r="M720" t="s">
        <v>26</v>
      </c>
      <c r="N720" s="2">
        <v>4</v>
      </c>
    </row>
    <row r="721" spans="1:14">
      <c r="A721" t="s">
        <v>751</v>
      </c>
      <c r="B721" s="1" t="str">
        <f>"51-6031"</f>
        <v>51-6031</v>
      </c>
      <c r="C721" s="1">
        <v>127</v>
      </c>
      <c r="D721" s="1">
        <v>116.5</v>
      </c>
      <c r="E721" s="1">
        <v>-10.5</v>
      </c>
      <c r="F721" s="1">
        <v>-8.3</v>
      </c>
      <c r="G721" s="1">
        <v>14</v>
      </c>
      <c r="H721" s="2">
        <v>29690</v>
      </c>
      <c r="I721" t="s">
        <v>42</v>
      </c>
      <c r="J721" s="2">
        <v>8</v>
      </c>
      <c r="K721" t="s">
        <v>16</v>
      </c>
      <c r="L721" s="2">
        <v>4</v>
      </c>
      <c r="M721" t="s">
        <v>30</v>
      </c>
      <c r="N721" s="2">
        <v>5</v>
      </c>
    </row>
    <row r="722" spans="1:14">
      <c r="A722" t="s">
        <v>752</v>
      </c>
      <c r="B722" s="1" t="str">
        <f>"39-5093"</f>
        <v>39-5093</v>
      </c>
      <c r="C722" s="1">
        <v>21.2</v>
      </c>
      <c r="D722" s="1">
        <v>23.5</v>
      </c>
      <c r="E722" s="1">
        <v>2.2</v>
      </c>
      <c r="F722" s="1">
        <v>10.6</v>
      </c>
      <c r="G722" s="1">
        <v>3.5</v>
      </c>
      <c r="H722" s="2">
        <v>24440</v>
      </c>
      <c r="I722" t="s">
        <v>42</v>
      </c>
      <c r="J722" s="2">
        <v>8</v>
      </c>
      <c r="K722" t="s">
        <v>16</v>
      </c>
      <c r="L722" s="2">
        <v>4</v>
      </c>
      <c r="M722" t="s">
        <v>30</v>
      </c>
      <c r="N722" s="2">
        <v>5</v>
      </c>
    </row>
    <row r="723" spans="1:14">
      <c r="A723" t="s">
        <v>753</v>
      </c>
      <c r="B723" s="1" t="str">
        <f>"47-2211"</f>
        <v>47-2211</v>
      </c>
      <c r="C723" s="1">
        <v>129.1</v>
      </c>
      <c r="D723" s="1">
        <v>128.1</v>
      </c>
      <c r="E723" s="1">
        <v>-1</v>
      </c>
      <c r="F723" s="1">
        <v>-0.8</v>
      </c>
      <c r="G723" s="1">
        <v>12.3</v>
      </c>
      <c r="H723" s="2">
        <v>53440</v>
      </c>
      <c r="I723" t="s">
        <v>25</v>
      </c>
      <c r="J723" s="2">
        <v>7</v>
      </c>
      <c r="K723" t="s">
        <v>16</v>
      </c>
      <c r="L723" s="2">
        <v>4</v>
      </c>
      <c r="M723" t="s">
        <v>104</v>
      </c>
      <c r="N723" s="2">
        <v>2</v>
      </c>
    </row>
    <row r="724" spans="1:14">
      <c r="A724" t="s">
        <v>754</v>
      </c>
      <c r="B724" s="1" t="str">
        <f>"53-5031"</f>
        <v>53-5031</v>
      </c>
      <c r="C724" s="1">
        <v>7.9</v>
      </c>
      <c r="D724" s="1">
        <v>7.8</v>
      </c>
      <c r="E724" s="1">
        <v>-0.1</v>
      </c>
      <c r="F724" s="1">
        <v>-0.7</v>
      </c>
      <c r="G724" s="1">
        <v>0.9</v>
      </c>
      <c r="H724" s="2">
        <v>82410</v>
      </c>
      <c r="I724" t="s">
        <v>50</v>
      </c>
      <c r="J724" s="2">
        <v>5</v>
      </c>
      <c r="K724" t="s">
        <v>32</v>
      </c>
      <c r="L724" s="2">
        <v>2</v>
      </c>
      <c r="M724" t="s">
        <v>16</v>
      </c>
      <c r="N724" s="2">
        <v>6</v>
      </c>
    </row>
    <row r="725" spans="1:14">
      <c r="A725" t="s">
        <v>755</v>
      </c>
      <c r="B725" s="1" t="str">
        <f>"43-5071"</f>
        <v>43-5071</v>
      </c>
      <c r="C725" s="1">
        <v>814.3</v>
      </c>
      <c r="D725" s="1">
        <v>757.2</v>
      </c>
      <c r="E725" s="1">
        <v>-57.1</v>
      </c>
      <c r="F725" s="1">
        <v>-7</v>
      </c>
      <c r="G725" s="1">
        <v>80.7</v>
      </c>
      <c r="H725" s="2">
        <v>36890</v>
      </c>
      <c r="I725" t="s">
        <v>25</v>
      </c>
      <c r="J725" s="2">
        <v>7</v>
      </c>
      <c r="K725" t="s">
        <v>16</v>
      </c>
      <c r="L725" s="2">
        <v>4</v>
      </c>
      <c r="M725" t="s">
        <v>30</v>
      </c>
      <c r="N725" s="2">
        <v>5</v>
      </c>
    </row>
    <row r="726" spans="1:14">
      <c r="A726" t="s">
        <v>756</v>
      </c>
      <c r="B726" s="1" t="str">
        <f>"51-6041"</f>
        <v>51-6041</v>
      </c>
      <c r="C726" s="1">
        <v>7.3</v>
      </c>
      <c r="D726" s="1">
        <v>6.9</v>
      </c>
      <c r="E726" s="1">
        <v>-0.4</v>
      </c>
      <c r="F726" s="1">
        <v>-5.1</v>
      </c>
      <c r="G726" s="1">
        <v>0.9</v>
      </c>
      <c r="H726" s="2">
        <v>31450</v>
      </c>
      <c r="I726" t="s">
        <v>25</v>
      </c>
      <c r="J726" s="2">
        <v>7</v>
      </c>
      <c r="K726" t="s">
        <v>16</v>
      </c>
      <c r="L726" s="2">
        <v>4</v>
      </c>
      <c r="M726" t="s">
        <v>26</v>
      </c>
      <c r="N726" s="2">
        <v>4</v>
      </c>
    </row>
    <row r="727" spans="1:14">
      <c r="A727" t="s">
        <v>757</v>
      </c>
      <c r="B727" s="1" t="str">
        <f>"51-6042"</f>
        <v>51-6042</v>
      </c>
      <c r="C727" s="1">
        <v>4.7</v>
      </c>
      <c r="D727" s="1">
        <v>4.3</v>
      </c>
      <c r="E727" s="1">
        <v>-0.3</v>
      </c>
      <c r="F727" s="1">
        <v>-7.2</v>
      </c>
      <c r="G727" s="1">
        <v>0.5</v>
      </c>
      <c r="H727" s="2">
        <v>28560</v>
      </c>
      <c r="I727" t="s">
        <v>25</v>
      </c>
      <c r="J727" s="2">
        <v>7</v>
      </c>
      <c r="K727" t="s">
        <v>16</v>
      </c>
      <c r="L727" s="2">
        <v>4</v>
      </c>
      <c r="M727" t="s">
        <v>30</v>
      </c>
      <c r="N727" s="2">
        <v>5</v>
      </c>
    </row>
    <row r="728" spans="1:14">
      <c r="A728" t="s">
        <v>758</v>
      </c>
      <c r="B728" s="1" t="str">
        <f>"53-3053"</f>
        <v>53-3053</v>
      </c>
      <c r="C728" s="1">
        <v>189.5</v>
      </c>
      <c r="D728" s="1">
        <v>215.2</v>
      </c>
      <c r="E728" s="1">
        <v>25.8</v>
      </c>
      <c r="F728" s="1">
        <v>13.6</v>
      </c>
      <c r="G728" s="1">
        <v>29</v>
      </c>
      <c r="H728" s="2">
        <v>30000</v>
      </c>
      <c r="I728" t="s">
        <v>42</v>
      </c>
      <c r="J728" s="2">
        <v>8</v>
      </c>
      <c r="K728" t="s">
        <v>16</v>
      </c>
      <c r="L728" s="2">
        <v>4</v>
      </c>
      <c r="M728" t="s">
        <v>30</v>
      </c>
      <c r="N728" s="2">
        <v>5</v>
      </c>
    </row>
    <row r="729" spans="1:14">
      <c r="A729" t="s">
        <v>759</v>
      </c>
      <c r="B729" s="1" t="str">
        <f>"49-9097"</f>
        <v>49-9097</v>
      </c>
      <c r="C729" s="1">
        <v>6.8</v>
      </c>
      <c r="D729" s="1">
        <v>7</v>
      </c>
      <c r="E729" s="1">
        <v>0.2</v>
      </c>
      <c r="F729" s="1">
        <v>3.7</v>
      </c>
      <c r="G729" s="1">
        <v>0.7</v>
      </c>
      <c r="H729" s="2">
        <v>80570</v>
      </c>
      <c r="I729" t="s">
        <v>25</v>
      </c>
      <c r="J729" s="2">
        <v>7</v>
      </c>
      <c r="K729" t="s">
        <v>16</v>
      </c>
      <c r="L729" s="2">
        <v>4</v>
      </c>
      <c r="M729" t="s">
        <v>26</v>
      </c>
      <c r="N729" s="2">
        <v>4</v>
      </c>
    </row>
    <row r="730" spans="1:14">
      <c r="A730" t="s">
        <v>760</v>
      </c>
      <c r="B730" s="1" t="str">
        <f>"39-5094"</f>
        <v>39-5094</v>
      </c>
      <c r="C730" s="1">
        <v>80.5</v>
      </c>
      <c r="D730" s="1">
        <v>93.9</v>
      </c>
      <c r="E730" s="1">
        <v>13.4</v>
      </c>
      <c r="F730" s="1">
        <v>16.7</v>
      </c>
      <c r="G730" s="1">
        <v>13.5</v>
      </c>
      <c r="H730" s="2">
        <v>37300</v>
      </c>
      <c r="I730" t="s">
        <v>50</v>
      </c>
      <c r="J730" s="2">
        <v>5</v>
      </c>
      <c r="K730" t="s">
        <v>16</v>
      </c>
      <c r="L730" s="2">
        <v>4</v>
      </c>
      <c r="M730" t="s">
        <v>16</v>
      </c>
      <c r="N730" s="2">
        <v>6</v>
      </c>
    </row>
    <row r="731" spans="1:14">
      <c r="A731" t="s">
        <v>761</v>
      </c>
      <c r="B731" s="1" t="str">
        <f>"51-3023"</f>
        <v>51-3023</v>
      </c>
      <c r="C731" s="1">
        <v>88.3</v>
      </c>
      <c r="D731" s="1">
        <v>86.7</v>
      </c>
      <c r="E731" s="1">
        <v>-1.6</v>
      </c>
      <c r="F731" s="1">
        <v>-1.8</v>
      </c>
      <c r="G731" s="1">
        <v>10.8</v>
      </c>
      <c r="H731" s="2">
        <v>29900</v>
      </c>
      <c r="I731" t="s">
        <v>42</v>
      </c>
      <c r="J731" s="2">
        <v>8</v>
      </c>
      <c r="K731" t="s">
        <v>16</v>
      </c>
      <c r="L731" s="2">
        <v>4</v>
      </c>
      <c r="M731" t="s">
        <v>30</v>
      </c>
      <c r="N731" s="2">
        <v>5</v>
      </c>
    </row>
    <row r="732" spans="1:14">
      <c r="A732" t="s">
        <v>762</v>
      </c>
      <c r="B732" s="1" t="str">
        <f>"11-9151"</f>
        <v>11-9151</v>
      </c>
      <c r="C732" s="1">
        <v>173.7</v>
      </c>
      <c r="D732" s="1">
        <v>194.1</v>
      </c>
      <c r="E732" s="1">
        <v>20.4</v>
      </c>
      <c r="F732" s="1">
        <v>11.7</v>
      </c>
      <c r="G732" s="1">
        <v>18</v>
      </c>
      <c r="H732" s="2">
        <v>74000</v>
      </c>
      <c r="I732" t="s">
        <v>15</v>
      </c>
      <c r="J732" s="2">
        <v>3</v>
      </c>
      <c r="K732" t="s">
        <v>32</v>
      </c>
      <c r="L732" s="2">
        <v>2</v>
      </c>
      <c r="M732" t="s">
        <v>16</v>
      </c>
      <c r="N732" s="2">
        <v>6</v>
      </c>
    </row>
    <row r="733" spans="1:14">
      <c r="A733" t="s">
        <v>763</v>
      </c>
      <c r="B733" s="1" t="str">
        <f>"21-1093"</f>
        <v>21-1093</v>
      </c>
      <c r="C733" s="1">
        <v>420.6</v>
      </c>
      <c r="D733" s="1">
        <v>472.9</v>
      </c>
      <c r="E733" s="1">
        <v>52.4</v>
      </c>
      <c r="F733" s="1">
        <v>12.5</v>
      </c>
      <c r="G733" s="1">
        <v>55.9</v>
      </c>
      <c r="H733" s="2">
        <v>37610</v>
      </c>
      <c r="I733" t="s">
        <v>25</v>
      </c>
      <c r="J733" s="2">
        <v>7</v>
      </c>
      <c r="K733" t="s">
        <v>16</v>
      </c>
      <c r="L733" s="2">
        <v>4</v>
      </c>
      <c r="M733" t="s">
        <v>30</v>
      </c>
      <c r="N733" s="2">
        <v>5</v>
      </c>
    </row>
    <row r="734" spans="1:14">
      <c r="A734" t="s">
        <v>764</v>
      </c>
      <c r="B734" s="1" t="str">
        <f>"19-4061"</f>
        <v>19-4061</v>
      </c>
      <c r="C734" s="1">
        <v>35.2</v>
      </c>
      <c r="D734" s="1">
        <v>39.2</v>
      </c>
      <c r="E734" s="1">
        <v>4</v>
      </c>
      <c r="F734" s="1">
        <v>11.3</v>
      </c>
      <c r="G734" s="1">
        <v>5</v>
      </c>
      <c r="H734" s="2">
        <v>49720</v>
      </c>
      <c r="I734" t="s">
        <v>15</v>
      </c>
      <c r="J734" s="2">
        <v>3</v>
      </c>
      <c r="K734" t="s">
        <v>16</v>
      </c>
      <c r="L734" s="2">
        <v>4</v>
      </c>
      <c r="M734" t="s">
        <v>16</v>
      </c>
      <c r="N734" s="2">
        <v>6</v>
      </c>
    </row>
    <row r="735" spans="1:14">
      <c r="A735" t="s">
        <v>765</v>
      </c>
      <c r="B735" s="1" t="str">
        <f>"25-1069"</f>
        <v>25-1069</v>
      </c>
      <c r="C735" s="1">
        <v>19.4</v>
      </c>
      <c r="D735" s="1">
        <v>20.5</v>
      </c>
      <c r="E735" s="1">
        <v>1.1</v>
      </c>
      <c r="F735" s="1">
        <v>5.5</v>
      </c>
      <c r="G735" s="1">
        <v>1.8</v>
      </c>
      <c r="H735" s="2">
        <v>77500</v>
      </c>
      <c r="I735" t="s">
        <v>28</v>
      </c>
      <c r="J735" s="2">
        <v>1</v>
      </c>
      <c r="K735" t="s">
        <v>16</v>
      </c>
      <c r="L735" s="2">
        <v>4</v>
      </c>
      <c r="M735" t="s">
        <v>16</v>
      </c>
      <c r="N735" s="2">
        <v>6</v>
      </c>
    </row>
    <row r="736" spans="1:14">
      <c r="A736" t="s">
        <v>766</v>
      </c>
      <c r="B736" s="1" t="str">
        <f>"19-3099"</f>
        <v>19-3099</v>
      </c>
      <c r="C736" s="1">
        <v>39.8</v>
      </c>
      <c r="D736" s="1">
        <v>40.4</v>
      </c>
      <c r="E736" s="1">
        <v>0.6</v>
      </c>
      <c r="F736" s="1">
        <v>1.6</v>
      </c>
      <c r="G736" s="1">
        <v>3.7</v>
      </c>
      <c r="H736" s="2">
        <v>84430</v>
      </c>
      <c r="I736" t="s">
        <v>15</v>
      </c>
      <c r="J736" s="2">
        <v>3</v>
      </c>
      <c r="K736" t="s">
        <v>16</v>
      </c>
      <c r="L736" s="2">
        <v>4</v>
      </c>
      <c r="M736" t="s">
        <v>16</v>
      </c>
      <c r="N736" s="2">
        <v>6</v>
      </c>
    </row>
    <row r="737" spans="1:14">
      <c r="A737" t="s">
        <v>767</v>
      </c>
      <c r="B737" s="1" t="str">
        <f>"25-1113"</f>
        <v>25-1113</v>
      </c>
      <c r="C737" s="1">
        <v>16.1</v>
      </c>
      <c r="D737" s="1">
        <v>17.5</v>
      </c>
      <c r="E737" s="1">
        <v>1.4</v>
      </c>
      <c r="F737" s="1">
        <v>8.9</v>
      </c>
      <c r="G737" s="1">
        <v>1.5</v>
      </c>
      <c r="H737" s="2">
        <v>71010</v>
      </c>
      <c r="I737" t="s">
        <v>28</v>
      </c>
      <c r="J737" s="2">
        <v>1</v>
      </c>
      <c r="K737" t="s">
        <v>16</v>
      </c>
      <c r="L737" s="2">
        <v>4</v>
      </c>
      <c r="M737" t="s">
        <v>16</v>
      </c>
      <c r="N737" s="2">
        <v>6</v>
      </c>
    </row>
    <row r="738" spans="1:14">
      <c r="A738" t="s">
        <v>768</v>
      </c>
      <c r="B738" s="1" t="str">
        <f>"21-1029"</f>
        <v>21-1029</v>
      </c>
      <c r="C738" s="1">
        <v>59</v>
      </c>
      <c r="D738" s="1">
        <v>60.7</v>
      </c>
      <c r="E738" s="1">
        <v>1.7</v>
      </c>
      <c r="F738" s="1">
        <v>2.9</v>
      </c>
      <c r="G738" s="1">
        <v>5.7</v>
      </c>
      <c r="H738" s="2">
        <v>61190</v>
      </c>
      <c r="I738" t="s">
        <v>15</v>
      </c>
      <c r="J738" s="2">
        <v>3</v>
      </c>
      <c r="K738" t="s">
        <v>16</v>
      </c>
      <c r="L738" s="2">
        <v>4</v>
      </c>
      <c r="M738" t="s">
        <v>16</v>
      </c>
      <c r="N738" s="2">
        <v>6</v>
      </c>
    </row>
    <row r="739" spans="1:14">
      <c r="A739" t="s">
        <v>769</v>
      </c>
      <c r="B739" s="1" t="str">
        <f>"19-3041"</f>
        <v>19-3041</v>
      </c>
      <c r="C739" s="1">
        <v>3</v>
      </c>
      <c r="D739" s="1">
        <v>3.1</v>
      </c>
      <c r="E739" s="1">
        <v>0.2</v>
      </c>
      <c r="F739" s="1">
        <v>5.4</v>
      </c>
      <c r="G739" s="1">
        <v>0.3</v>
      </c>
      <c r="H739" s="2">
        <v>92910</v>
      </c>
      <c r="I739" t="s">
        <v>23</v>
      </c>
      <c r="J739" s="2">
        <v>2</v>
      </c>
      <c r="K739" t="s">
        <v>16</v>
      </c>
      <c r="L739" s="2">
        <v>4</v>
      </c>
      <c r="M739" t="s">
        <v>16</v>
      </c>
      <c r="N739" s="2">
        <v>6</v>
      </c>
    </row>
    <row r="740" spans="1:14">
      <c r="A740" t="s">
        <v>770</v>
      </c>
      <c r="B740" s="1" t="str">
        <f>"25-1067"</f>
        <v>25-1067</v>
      </c>
      <c r="C740" s="1">
        <v>16</v>
      </c>
      <c r="D740" s="1">
        <v>17.2</v>
      </c>
      <c r="E740" s="1">
        <v>1.2</v>
      </c>
      <c r="F740" s="1">
        <v>7.6</v>
      </c>
      <c r="G740" s="1">
        <v>1.5</v>
      </c>
      <c r="H740" s="2">
        <v>77980</v>
      </c>
      <c r="I740" t="s">
        <v>28</v>
      </c>
      <c r="J740" s="2">
        <v>1</v>
      </c>
      <c r="K740" t="s">
        <v>16</v>
      </c>
      <c r="L740" s="2">
        <v>4</v>
      </c>
      <c r="M740" t="s">
        <v>16</v>
      </c>
      <c r="N740" s="2">
        <v>6</v>
      </c>
    </row>
    <row r="741" spans="1:14">
      <c r="A741" t="s">
        <v>771</v>
      </c>
      <c r="B741" s="1" t="str">
        <f>"15-1252"</f>
        <v>15-1252</v>
      </c>
      <c r="C741" s="1">
        <v>1425.9</v>
      </c>
      <c r="D741" s="1">
        <v>1796.5</v>
      </c>
      <c r="E741" s="1">
        <v>370.6</v>
      </c>
      <c r="F741" s="1">
        <v>26</v>
      </c>
      <c r="G741" s="1">
        <v>143.4</v>
      </c>
      <c r="H741" s="2">
        <v>120730</v>
      </c>
      <c r="I741" t="s">
        <v>15</v>
      </c>
      <c r="J741" s="2">
        <v>3</v>
      </c>
      <c r="K741" t="s">
        <v>16</v>
      </c>
      <c r="L741" s="2">
        <v>4</v>
      </c>
      <c r="M741" t="s">
        <v>16</v>
      </c>
      <c r="N741" s="2">
        <v>6</v>
      </c>
    </row>
    <row r="742" spans="1:14">
      <c r="A742" t="s">
        <v>772</v>
      </c>
      <c r="B742" s="1" t="str">
        <f>"15-1253"</f>
        <v>15-1253</v>
      </c>
      <c r="C742" s="1">
        <v>196.3</v>
      </c>
      <c r="D742" s="1">
        <v>237.1</v>
      </c>
      <c r="E742" s="1">
        <v>40.8</v>
      </c>
      <c r="F742" s="1">
        <v>20.8</v>
      </c>
      <c r="G742" s="1">
        <v>19.5</v>
      </c>
      <c r="H742" s="2">
        <v>98220</v>
      </c>
      <c r="I742" t="s">
        <v>15</v>
      </c>
      <c r="J742" s="2">
        <v>3</v>
      </c>
      <c r="K742" t="s">
        <v>16</v>
      </c>
      <c r="L742" s="2">
        <v>4</v>
      </c>
      <c r="M742" t="s">
        <v>16</v>
      </c>
      <c r="N742" s="2">
        <v>6</v>
      </c>
    </row>
    <row r="743" spans="1:14">
      <c r="A743" t="s">
        <v>773</v>
      </c>
      <c r="B743" s="1" t="str">
        <f>"19-1013"</f>
        <v>19-1013</v>
      </c>
      <c r="C743" s="1">
        <v>19.1</v>
      </c>
      <c r="D743" s="1">
        <v>20.8</v>
      </c>
      <c r="E743" s="1">
        <v>1.7</v>
      </c>
      <c r="F743" s="1">
        <v>9.1</v>
      </c>
      <c r="G743" s="1">
        <v>2.1</v>
      </c>
      <c r="H743" s="2">
        <v>66750</v>
      </c>
      <c r="I743" t="s">
        <v>15</v>
      </c>
      <c r="J743" s="2">
        <v>3</v>
      </c>
      <c r="K743" t="s">
        <v>16</v>
      </c>
      <c r="L743" s="2">
        <v>4</v>
      </c>
      <c r="M743" t="s">
        <v>16</v>
      </c>
      <c r="N743" s="2">
        <v>6</v>
      </c>
    </row>
    <row r="744" spans="1:14">
      <c r="A744" t="s">
        <v>774</v>
      </c>
      <c r="B744" s="1" t="str">
        <f>"47-2231"</f>
        <v>47-2231</v>
      </c>
      <c r="C744" s="1">
        <v>17.1</v>
      </c>
      <c r="D744" s="1">
        <v>21.7</v>
      </c>
      <c r="E744" s="1">
        <v>4.6</v>
      </c>
      <c r="F744" s="1">
        <v>27.2</v>
      </c>
      <c r="G744" s="1">
        <v>2.5</v>
      </c>
      <c r="H744" s="2">
        <v>47670</v>
      </c>
      <c r="I744" t="s">
        <v>25</v>
      </c>
      <c r="J744" s="2">
        <v>7</v>
      </c>
      <c r="K744" t="s">
        <v>16</v>
      </c>
      <c r="L744" s="2">
        <v>4</v>
      </c>
      <c r="M744" t="s">
        <v>26</v>
      </c>
      <c r="N744" s="2">
        <v>4</v>
      </c>
    </row>
    <row r="745" spans="1:14">
      <c r="A745" t="s">
        <v>775</v>
      </c>
      <c r="B745" s="1" t="str">
        <f>"27-4014"</f>
        <v>27-4014</v>
      </c>
      <c r="C745" s="1">
        <v>15.2</v>
      </c>
      <c r="D745" s="1">
        <v>16.3</v>
      </c>
      <c r="E745" s="1">
        <v>1.1</v>
      </c>
      <c r="F745" s="1">
        <v>7.5</v>
      </c>
      <c r="G745" s="1">
        <v>1.6</v>
      </c>
      <c r="H745" s="2">
        <v>60500</v>
      </c>
      <c r="I745" t="s">
        <v>50</v>
      </c>
      <c r="J745" s="2">
        <v>5</v>
      </c>
      <c r="K745" t="s">
        <v>16</v>
      </c>
      <c r="L745" s="2">
        <v>4</v>
      </c>
      <c r="M745" t="s">
        <v>30</v>
      </c>
      <c r="N745" s="2">
        <v>5</v>
      </c>
    </row>
    <row r="746" spans="1:14">
      <c r="A746" t="s">
        <v>776</v>
      </c>
      <c r="B746" s="1" t="str">
        <f>"25-2059"</f>
        <v>25-2059</v>
      </c>
      <c r="C746" s="1">
        <v>39.5</v>
      </c>
      <c r="D746" s="1">
        <v>42.2</v>
      </c>
      <c r="E746" s="1">
        <v>2.7</v>
      </c>
      <c r="F746" s="1">
        <v>6.8</v>
      </c>
      <c r="G746" s="1">
        <v>3.2</v>
      </c>
      <c r="H746" s="2">
        <v>61720</v>
      </c>
      <c r="I746" t="s">
        <v>15</v>
      </c>
      <c r="J746" s="2">
        <v>3</v>
      </c>
      <c r="K746" t="s">
        <v>16</v>
      </c>
      <c r="L746" s="2">
        <v>4</v>
      </c>
      <c r="M746" t="s">
        <v>16</v>
      </c>
      <c r="N746" s="2">
        <v>6</v>
      </c>
    </row>
    <row r="747" spans="1:14">
      <c r="A747" t="s">
        <v>777</v>
      </c>
      <c r="B747" s="1" t="str">
        <f>"25-2052"</f>
        <v>25-2052</v>
      </c>
      <c r="C747" s="1">
        <v>188.2</v>
      </c>
      <c r="D747" s="1">
        <v>195.3</v>
      </c>
      <c r="E747" s="1">
        <v>7.2</v>
      </c>
      <c r="F747" s="1">
        <v>3.8</v>
      </c>
      <c r="G747" s="1">
        <v>14.7</v>
      </c>
      <c r="H747" s="2">
        <v>61640</v>
      </c>
      <c r="I747" t="s">
        <v>15</v>
      </c>
      <c r="J747" s="2">
        <v>3</v>
      </c>
      <c r="K747" t="s">
        <v>16</v>
      </c>
      <c r="L747" s="2">
        <v>4</v>
      </c>
      <c r="M747" t="s">
        <v>16</v>
      </c>
      <c r="N747" s="2">
        <v>6</v>
      </c>
    </row>
    <row r="748" spans="1:14">
      <c r="A748" t="s">
        <v>778</v>
      </c>
      <c r="B748" s="1" t="str">
        <f>"25-2057"</f>
        <v>25-2057</v>
      </c>
      <c r="C748" s="1">
        <v>79.4</v>
      </c>
      <c r="D748" s="1">
        <v>82.2</v>
      </c>
      <c r="E748" s="1">
        <v>2.8</v>
      </c>
      <c r="F748" s="1">
        <v>3.5</v>
      </c>
      <c r="G748" s="1">
        <v>6.2</v>
      </c>
      <c r="H748" s="2">
        <v>61820</v>
      </c>
      <c r="I748" t="s">
        <v>15</v>
      </c>
      <c r="J748" s="2">
        <v>3</v>
      </c>
      <c r="K748" t="s">
        <v>16</v>
      </c>
      <c r="L748" s="2">
        <v>4</v>
      </c>
      <c r="M748" t="s">
        <v>16</v>
      </c>
      <c r="N748" s="2">
        <v>6</v>
      </c>
    </row>
    <row r="749" spans="1:14">
      <c r="A749" t="s">
        <v>779</v>
      </c>
      <c r="B749" s="1" t="str">
        <f>"25-2051"</f>
        <v>25-2051</v>
      </c>
      <c r="C749" s="1">
        <v>22</v>
      </c>
      <c r="D749" s="1">
        <v>23.9</v>
      </c>
      <c r="E749" s="1">
        <v>1.8</v>
      </c>
      <c r="F749" s="1">
        <v>8.3</v>
      </c>
      <c r="G749" s="1">
        <v>1.9</v>
      </c>
      <c r="H749" s="2">
        <v>62420</v>
      </c>
      <c r="I749" t="s">
        <v>15</v>
      </c>
      <c r="J749" s="2">
        <v>3</v>
      </c>
      <c r="K749" t="s">
        <v>16</v>
      </c>
      <c r="L749" s="2">
        <v>4</v>
      </c>
      <c r="M749" t="s">
        <v>16</v>
      </c>
      <c r="N749" s="2">
        <v>6</v>
      </c>
    </row>
    <row r="750" spans="1:14">
      <c r="A750" t="s">
        <v>780</v>
      </c>
      <c r="B750" s="1" t="str">
        <f>"25-2058"</f>
        <v>25-2058</v>
      </c>
      <c r="C750" s="1">
        <v>147.2</v>
      </c>
      <c r="D750" s="1">
        <v>153.4</v>
      </c>
      <c r="E750" s="1">
        <v>6.2</v>
      </c>
      <c r="F750" s="1">
        <v>4.2</v>
      </c>
      <c r="G750" s="1">
        <v>11.6</v>
      </c>
      <c r="H750" s="2">
        <v>62120</v>
      </c>
      <c r="I750" t="s">
        <v>15</v>
      </c>
      <c r="J750" s="2">
        <v>3</v>
      </c>
      <c r="K750" t="s">
        <v>16</v>
      </c>
      <c r="L750" s="2">
        <v>4</v>
      </c>
      <c r="M750" t="s">
        <v>16</v>
      </c>
      <c r="N750" s="2">
        <v>6</v>
      </c>
    </row>
    <row r="751" spans="1:14">
      <c r="A751" t="s">
        <v>781</v>
      </c>
      <c r="B751" s="1" t="str">
        <f>"27-1014"</f>
        <v>27-1014</v>
      </c>
      <c r="C751" s="1">
        <v>58.9</v>
      </c>
      <c r="D751" s="1">
        <v>62.1</v>
      </c>
      <c r="E751" s="1">
        <v>3.2</v>
      </c>
      <c r="F751" s="1">
        <v>5.4</v>
      </c>
      <c r="G751" s="1">
        <v>6.7</v>
      </c>
      <c r="H751" s="2">
        <v>78790</v>
      </c>
      <c r="I751" t="s">
        <v>15</v>
      </c>
      <c r="J751" s="2">
        <v>3</v>
      </c>
      <c r="K751" t="s">
        <v>16</v>
      </c>
      <c r="L751" s="2">
        <v>4</v>
      </c>
      <c r="M751" t="s">
        <v>16</v>
      </c>
      <c r="N751" s="2">
        <v>6</v>
      </c>
    </row>
    <row r="752" spans="1:14">
      <c r="A752" t="s">
        <v>782</v>
      </c>
      <c r="B752" s="1" t="str">
        <f>"29-1127"</f>
        <v>29-1127</v>
      </c>
      <c r="C752" s="1">
        <v>159.8</v>
      </c>
      <c r="D752" s="1">
        <v>193.9</v>
      </c>
      <c r="E752" s="1">
        <v>34</v>
      </c>
      <c r="F752" s="1">
        <v>21.3</v>
      </c>
      <c r="G752" s="1">
        <v>14</v>
      </c>
      <c r="H752" s="2">
        <v>79060</v>
      </c>
      <c r="I752" t="s">
        <v>23</v>
      </c>
      <c r="J752" s="2">
        <v>2</v>
      </c>
      <c r="K752" t="s">
        <v>16</v>
      </c>
      <c r="L752" s="2">
        <v>4</v>
      </c>
      <c r="M752" t="s">
        <v>59</v>
      </c>
      <c r="N752" s="2">
        <v>1</v>
      </c>
    </row>
    <row r="753" spans="1:14">
      <c r="A753" t="s">
        <v>783</v>
      </c>
      <c r="B753" s="1" t="str">
        <f>"51-8021"</f>
        <v>51-8021</v>
      </c>
      <c r="C753" s="1">
        <v>32.5</v>
      </c>
      <c r="D753" s="1">
        <v>33.8</v>
      </c>
      <c r="E753" s="1">
        <v>1.3</v>
      </c>
      <c r="F753" s="1">
        <v>4</v>
      </c>
      <c r="G753" s="1">
        <v>4.2</v>
      </c>
      <c r="H753" s="2">
        <v>63500</v>
      </c>
      <c r="I753" t="s">
        <v>25</v>
      </c>
      <c r="J753" s="2">
        <v>7</v>
      </c>
      <c r="K753" t="s">
        <v>16</v>
      </c>
      <c r="L753" s="2">
        <v>4</v>
      </c>
      <c r="M753" t="s">
        <v>20</v>
      </c>
      <c r="N753" s="2">
        <v>3</v>
      </c>
    </row>
    <row r="754" spans="1:14">
      <c r="A754" t="s">
        <v>784</v>
      </c>
      <c r="B754" s="1" t="str">
        <f>"43-9111"</f>
        <v>43-9111</v>
      </c>
      <c r="C754" s="1">
        <v>8.5</v>
      </c>
      <c r="D754" s="1">
        <v>8.6</v>
      </c>
      <c r="E754" s="1">
        <v>0.1</v>
      </c>
      <c r="F754" s="1">
        <v>1.7</v>
      </c>
      <c r="G754" s="1">
        <v>0.9</v>
      </c>
      <c r="H754" s="2">
        <v>48160</v>
      </c>
      <c r="I754" t="s">
        <v>15</v>
      </c>
      <c r="J754" s="2">
        <v>3</v>
      </c>
      <c r="K754" t="s">
        <v>16</v>
      </c>
      <c r="L754" s="2">
        <v>4</v>
      </c>
      <c r="M754" t="s">
        <v>16</v>
      </c>
      <c r="N754" s="2">
        <v>6</v>
      </c>
    </row>
    <row r="755" spans="1:14">
      <c r="A755" t="s">
        <v>785</v>
      </c>
      <c r="B755" s="1" t="str">
        <f>"15-2041"</f>
        <v>15-2041</v>
      </c>
      <c r="C755" s="1">
        <v>34.2</v>
      </c>
      <c r="D755" s="1">
        <v>45.3</v>
      </c>
      <c r="E755" s="1">
        <v>11.2</v>
      </c>
      <c r="F755" s="1">
        <v>32.7</v>
      </c>
      <c r="G755" s="1">
        <v>3.9</v>
      </c>
      <c r="H755" s="2">
        <v>95570</v>
      </c>
      <c r="I755" t="s">
        <v>23</v>
      </c>
      <c r="J755" s="2">
        <v>2</v>
      </c>
      <c r="K755" t="s">
        <v>16</v>
      </c>
      <c r="L755" s="2">
        <v>4</v>
      </c>
      <c r="M755" t="s">
        <v>16</v>
      </c>
      <c r="N755" s="2">
        <v>6</v>
      </c>
    </row>
    <row r="756" spans="1:14">
      <c r="A756" t="s">
        <v>786</v>
      </c>
      <c r="B756" s="1" t="str">
        <f>"53-7065"</f>
        <v>53-7065</v>
      </c>
      <c r="C756" s="1">
        <v>2472.7</v>
      </c>
      <c r="D756" s="1">
        <v>2630.6</v>
      </c>
      <c r="E756" s="1">
        <v>157.9</v>
      </c>
      <c r="F756" s="1">
        <v>6.4</v>
      </c>
      <c r="G756" s="1">
        <v>450.4</v>
      </c>
      <c r="H756" s="2">
        <v>30110</v>
      </c>
      <c r="I756" t="s">
        <v>25</v>
      </c>
      <c r="J756" s="2">
        <v>7</v>
      </c>
      <c r="K756" t="s">
        <v>16</v>
      </c>
      <c r="L756" s="2">
        <v>4</v>
      </c>
      <c r="M756" t="s">
        <v>30</v>
      </c>
      <c r="N756" s="2">
        <v>5</v>
      </c>
    </row>
    <row r="757" spans="1:14">
      <c r="A757" t="s">
        <v>787</v>
      </c>
      <c r="B757" s="1" t="str">
        <f>"47-2022"</f>
        <v>47-2022</v>
      </c>
      <c r="C757" s="1">
        <v>10.7</v>
      </c>
      <c r="D757" s="1">
        <v>10.2</v>
      </c>
      <c r="E757" s="1">
        <v>-0.5</v>
      </c>
      <c r="F757" s="1">
        <v>-5</v>
      </c>
      <c r="G757" s="1">
        <v>0.9</v>
      </c>
      <c r="H757" s="2">
        <v>47610</v>
      </c>
      <c r="I757" t="s">
        <v>25</v>
      </c>
      <c r="J757" s="2">
        <v>7</v>
      </c>
      <c r="K757" t="s">
        <v>16</v>
      </c>
      <c r="L757" s="2">
        <v>4</v>
      </c>
      <c r="M757" t="s">
        <v>104</v>
      </c>
      <c r="N757" s="2">
        <v>2</v>
      </c>
    </row>
    <row r="758" spans="1:14">
      <c r="A758" t="s">
        <v>788</v>
      </c>
      <c r="B758" s="1" t="str">
        <f>"47-2221"</f>
        <v>47-2221</v>
      </c>
      <c r="C758" s="1">
        <v>69</v>
      </c>
      <c r="D758" s="1">
        <v>72</v>
      </c>
      <c r="E758" s="1">
        <v>3</v>
      </c>
      <c r="F758" s="1">
        <v>4.3</v>
      </c>
      <c r="G758" s="1">
        <v>7.5</v>
      </c>
      <c r="H758" s="2">
        <v>58550</v>
      </c>
      <c r="I758" t="s">
        <v>25</v>
      </c>
      <c r="J758" s="2">
        <v>7</v>
      </c>
      <c r="K758" t="s">
        <v>16</v>
      </c>
      <c r="L758" s="2">
        <v>4</v>
      </c>
      <c r="M758" t="s">
        <v>104</v>
      </c>
      <c r="N758" s="2">
        <v>2</v>
      </c>
    </row>
    <row r="759" spans="1:14">
      <c r="A759" t="s">
        <v>789</v>
      </c>
      <c r="B759" s="1" t="str">
        <f>"51-2041"</f>
        <v>51-2041</v>
      </c>
      <c r="C759" s="1">
        <v>63.6</v>
      </c>
      <c r="D759" s="1">
        <v>53.6</v>
      </c>
      <c r="E759" s="1">
        <v>-10.1</v>
      </c>
      <c r="F759" s="1">
        <v>-15.8</v>
      </c>
      <c r="G759" s="1">
        <v>4.7</v>
      </c>
      <c r="H759" s="2">
        <v>45480</v>
      </c>
      <c r="I759" t="s">
        <v>25</v>
      </c>
      <c r="J759" s="2">
        <v>7</v>
      </c>
      <c r="K759" t="s">
        <v>16</v>
      </c>
      <c r="L759" s="2">
        <v>4</v>
      </c>
      <c r="M759" t="s">
        <v>26</v>
      </c>
      <c r="N759" s="2">
        <v>4</v>
      </c>
    </row>
    <row r="760" spans="1:14">
      <c r="A760" t="s">
        <v>790</v>
      </c>
      <c r="B760" s="1" t="str">
        <f>"21-1018"</f>
        <v>21-1018</v>
      </c>
      <c r="C760" s="1">
        <v>351</v>
      </c>
      <c r="D760" s="1">
        <v>428.5</v>
      </c>
      <c r="E760" s="1">
        <v>77.5</v>
      </c>
      <c r="F760" s="1">
        <v>22.1</v>
      </c>
      <c r="G760" s="1">
        <v>43.6</v>
      </c>
      <c r="H760" s="2">
        <v>48520</v>
      </c>
      <c r="I760" t="s">
        <v>15</v>
      </c>
      <c r="J760" s="2">
        <v>3</v>
      </c>
      <c r="K760" t="s">
        <v>16</v>
      </c>
      <c r="L760" s="2">
        <v>4</v>
      </c>
      <c r="M760" t="s">
        <v>16</v>
      </c>
      <c r="N760" s="2">
        <v>6</v>
      </c>
    </row>
    <row r="761" spans="1:14">
      <c r="A761" t="s">
        <v>791</v>
      </c>
      <c r="B761" s="1" t="str">
        <f>"25-3031"</f>
        <v>25-3031</v>
      </c>
      <c r="C761" s="1">
        <v>400.4</v>
      </c>
      <c r="D761" s="1">
        <v>433.2</v>
      </c>
      <c r="E761" s="1">
        <v>32.8</v>
      </c>
      <c r="F761" s="1">
        <v>8.2</v>
      </c>
      <c r="G761" s="1">
        <v>50.6</v>
      </c>
      <c r="H761" s="2">
        <v>30100</v>
      </c>
      <c r="I761" t="s">
        <v>15</v>
      </c>
      <c r="J761" s="2">
        <v>3</v>
      </c>
      <c r="K761" t="s">
        <v>16</v>
      </c>
      <c r="L761" s="2">
        <v>4</v>
      </c>
      <c r="M761" t="s">
        <v>16</v>
      </c>
      <c r="N761" s="2">
        <v>6</v>
      </c>
    </row>
    <row r="762" spans="1:14">
      <c r="A762" t="s">
        <v>792</v>
      </c>
      <c r="B762" s="1" t="str">
        <f>"53-4041"</f>
        <v>53-4041</v>
      </c>
      <c r="C762" s="1">
        <v>10.6</v>
      </c>
      <c r="D762" s="1">
        <v>10.9</v>
      </c>
      <c r="E762" s="1">
        <v>0.4</v>
      </c>
      <c r="F762" s="1">
        <v>3.5</v>
      </c>
      <c r="G762" s="1">
        <v>1.2</v>
      </c>
      <c r="H762" s="2">
        <v>81180</v>
      </c>
      <c r="I762" t="s">
        <v>25</v>
      </c>
      <c r="J762" s="2">
        <v>7</v>
      </c>
      <c r="K762" t="s">
        <v>16</v>
      </c>
      <c r="L762" s="2">
        <v>4</v>
      </c>
      <c r="M762" t="s">
        <v>26</v>
      </c>
      <c r="N762" s="2">
        <v>4</v>
      </c>
    </row>
    <row r="763" spans="1:14">
      <c r="A763" t="s">
        <v>793</v>
      </c>
      <c r="B763" s="1" t="str">
        <f>"29-1249"</f>
        <v>29-1249</v>
      </c>
      <c r="C763" s="1">
        <v>30.7</v>
      </c>
      <c r="D763" s="1">
        <v>31.5</v>
      </c>
      <c r="E763" s="1">
        <v>0.8</v>
      </c>
      <c r="F763" s="1">
        <v>2.6</v>
      </c>
      <c r="G763" s="1">
        <v>0.9</v>
      </c>
      <c r="H763" s="2" t="s">
        <v>58</v>
      </c>
      <c r="I763" t="s">
        <v>28</v>
      </c>
      <c r="J763" s="2">
        <v>1</v>
      </c>
      <c r="K763" t="s">
        <v>16</v>
      </c>
      <c r="L763" s="2">
        <v>4</v>
      </c>
      <c r="M763" t="s">
        <v>59</v>
      </c>
      <c r="N763" s="2">
        <v>1</v>
      </c>
    </row>
    <row r="764" spans="1:14">
      <c r="A764" t="s">
        <v>794</v>
      </c>
      <c r="B764" s="1" t="str">
        <f>"29-9093"</f>
        <v>29-9093</v>
      </c>
      <c r="C764" s="1">
        <v>18</v>
      </c>
      <c r="D764" s="1">
        <v>19.2</v>
      </c>
      <c r="E764" s="1">
        <v>1.2</v>
      </c>
      <c r="F764" s="1">
        <v>6.4</v>
      </c>
      <c r="G764" s="1">
        <v>1.3</v>
      </c>
      <c r="H764" s="2">
        <v>48320</v>
      </c>
      <c r="I764" t="s">
        <v>50</v>
      </c>
      <c r="J764" s="2">
        <v>5</v>
      </c>
      <c r="K764" t="s">
        <v>16</v>
      </c>
      <c r="L764" s="2">
        <v>4</v>
      </c>
      <c r="M764" t="s">
        <v>16</v>
      </c>
      <c r="N764" s="2">
        <v>6</v>
      </c>
    </row>
    <row r="765" spans="1:14">
      <c r="A765" t="s">
        <v>795</v>
      </c>
      <c r="B765" s="1" t="str">
        <f>"29-2055"</f>
        <v>29-2055</v>
      </c>
      <c r="C765" s="1">
        <v>110.7</v>
      </c>
      <c r="D765" s="1">
        <v>117.2</v>
      </c>
      <c r="E765" s="1">
        <v>6.5</v>
      </c>
      <c r="F765" s="1">
        <v>5.9</v>
      </c>
      <c r="G765" s="1">
        <v>8.3</v>
      </c>
      <c r="H765" s="2">
        <v>48530</v>
      </c>
      <c r="I765" t="s">
        <v>50</v>
      </c>
      <c r="J765" s="2">
        <v>5</v>
      </c>
      <c r="K765" t="s">
        <v>16</v>
      </c>
      <c r="L765" s="2">
        <v>4</v>
      </c>
      <c r="M765" t="s">
        <v>16</v>
      </c>
      <c r="N765" s="2">
        <v>6</v>
      </c>
    </row>
    <row r="766" spans="1:14">
      <c r="A766" t="s">
        <v>796</v>
      </c>
      <c r="B766" s="1" t="str">
        <f>"19-3022"</f>
        <v>19-3022</v>
      </c>
      <c r="C766" s="1">
        <v>10.4</v>
      </c>
      <c r="D766" s="1">
        <v>11</v>
      </c>
      <c r="E766" s="1">
        <v>0.7</v>
      </c>
      <c r="F766" s="1">
        <v>6.3</v>
      </c>
      <c r="G766" s="1">
        <v>1</v>
      </c>
      <c r="H766" s="2">
        <v>59740</v>
      </c>
      <c r="I766" t="s">
        <v>23</v>
      </c>
      <c r="J766" s="2">
        <v>2</v>
      </c>
      <c r="K766" t="s">
        <v>16</v>
      </c>
      <c r="L766" s="2">
        <v>4</v>
      </c>
      <c r="M766" t="s">
        <v>16</v>
      </c>
      <c r="N766" s="2">
        <v>6</v>
      </c>
    </row>
    <row r="767" spans="1:14">
      <c r="A767" t="s">
        <v>797</v>
      </c>
      <c r="B767" s="1" t="str">
        <f>"17-3031"</f>
        <v>17-3031</v>
      </c>
      <c r="C767" s="1">
        <v>59.8</v>
      </c>
      <c r="D767" s="1">
        <v>62</v>
      </c>
      <c r="E767" s="1">
        <v>2.2</v>
      </c>
      <c r="F767" s="1">
        <v>3.6</v>
      </c>
      <c r="G767" s="1">
        <v>7.8</v>
      </c>
      <c r="H767" s="2">
        <v>46910</v>
      </c>
      <c r="I767" t="s">
        <v>25</v>
      </c>
      <c r="J767" s="2">
        <v>7</v>
      </c>
      <c r="K767" t="s">
        <v>16</v>
      </c>
      <c r="L767" s="2">
        <v>4</v>
      </c>
      <c r="M767" t="s">
        <v>26</v>
      </c>
      <c r="N767" s="2">
        <v>4</v>
      </c>
    </row>
    <row r="768" spans="1:14">
      <c r="A768" t="s">
        <v>798</v>
      </c>
      <c r="B768" s="1" t="str">
        <f>"17-1022"</f>
        <v>17-1022</v>
      </c>
      <c r="C768" s="1">
        <v>50</v>
      </c>
      <c r="D768" s="1">
        <v>50.4</v>
      </c>
      <c r="E768" s="1">
        <v>0.4</v>
      </c>
      <c r="F768" s="1">
        <v>0.9</v>
      </c>
      <c r="G768" s="1">
        <v>3.8</v>
      </c>
      <c r="H768" s="2">
        <v>61600</v>
      </c>
      <c r="I768" t="s">
        <v>15</v>
      </c>
      <c r="J768" s="2">
        <v>3</v>
      </c>
      <c r="K768" t="s">
        <v>16</v>
      </c>
      <c r="L768" s="2">
        <v>4</v>
      </c>
      <c r="M768" t="s">
        <v>59</v>
      </c>
      <c r="N768" s="2">
        <v>1</v>
      </c>
    </row>
    <row r="769" spans="1:14">
      <c r="A769" t="s">
        <v>799</v>
      </c>
      <c r="B769" s="1" t="str">
        <f>"43-2011"</f>
        <v>43-2011</v>
      </c>
      <c r="C769" s="1">
        <v>49</v>
      </c>
      <c r="D769" s="1">
        <v>37.2</v>
      </c>
      <c r="E769" s="1">
        <v>-11.8</v>
      </c>
      <c r="F769" s="1">
        <v>-24</v>
      </c>
      <c r="G769" s="1">
        <v>4</v>
      </c>
      <c r="H769" s="2">
        <v>30150</v>
      </c>
      <c r="I769" t="s">
        <v>25</v>
      </c>
      <c r="J769" s="2">
        <v>7</v>
      </c>
      <c r="K769" t="s">
        <v>16</v>
      </c>
      <c r="L769" s="2">
        <v>4</v>
      </c>
      <c r="M769" t="s">
        <v>30</v>
      </c>
      <c r="N769" s="2">
        <v>5</v>
      </c>
    </row>
    <row r="770" spans="1:14">
      <c r="A770" t="s">
        <v>800</v>
      </c>
      <c r="B770" s="1" t="str">
        <f>"51-6052"</f>
        <v>51-6052</v>
      </c>
      <c r="C770" s="1">
        <v>35</v>
      </c>
      <c r="D770" s="1">
        <v>35.5</v>
      </c>
      <c r="E770" s="1">
        <v>0.4</v>
      </c>
      <c r="F770" s="1">
        <v>1.2</v>
      </c>
      <c r="G770" s="1">
        <v>5</v>
      </c>
      <c r="H770" s="2">
        <v>31420</v>
      </c>
      <c r="I770" t="s">
        <v>42</v>
      </c>
      <c r="J770" s="2">
        <v>8</v>
      </c>
      <c r="K770" t="s">
        <v>16</v>
      </c>
      <c r="L770" s="2">
        <v>4</v>
      </c>
      <c r="M770" t="s">
        <v>26</v>
      </c>
      <c r="N770" s="2">
        <v>4</v>
      </c>
    </row>
    <row r="771" spans="1:14">
      <c r="A771" t="s">
        <v>801</v>
      </c>
      <c r="B771" s="1" t="str">
        <f>"53-7121"</f>
        <v>53-7121</v>
      </c>
      <c r="C771" s="1">
        <v>13.5</v>
      </c>
      <c r="D771" s="1">
        <v>13.1</v>
      </c>
      <c r="E771" s="1">
        <v>-0.3</v>
      </c>
      <c r="F771" s="1">
        <v>-2.5</v>
      </c>
      <c r="G771" s="1">
        <v>1.7</v>
      </c>
      <c r="H771" s="2">
        <v>49390</v>
      </c>
      <c r="I771" t="s">
        <v>42</v>
      </c>
      <c r="J771" s="2">
        <v>8</v>
      </c>
      <c r="K771" t="s">
        <v>16</v>
      </c>
      <c r="L771" s="2">
        <v>4</v>
      </c>
      <c r="M771" t="s">
        <v>30</v>
      </c>
      <c r="N771" s="2">
        <v>5</v>
      </c>
    </row>
    <row r="772" spans="1:14">
      <c r="A772" t="s">
        <v>802</v>
      </c>
      <c r="B772" s="1" t="str">
        <f>"47-2082"</f>
        <v>47-2082</v>
      </c>
      <c r="C772" s="1">
        <v>16.8</v>
      </c>
      <c r="D772" s="1">
        <v>16.6</v>
      </c>
      <c r="E772" s="1">
        <v>-0.1</v>
      </c>
      <c r="F772" s="1">
        <v>-0.8</v>
      </c>
      <c r="G772" s="1">
        <v>1.3</v>
      </c>
      <c r="H772" s="2">
        <v>61080</v>
      </c>
      <c r="I772" t="s">
        <v>42</v>
      </c>
      <c r="J772" s="2">
        <v>8</v>
      </c>
      <c r="K772" t="s">
        <v>16</v>
      </c>
      <c r="L772" s="2">
        <v>4</v>
      </c>
      <c r="M772" t="s">
        <v>26</v>
      </c>
      <c r="N772" s="2">
        <v>4</v>
      </c>
    </row>
    <row r="773" spans="1:14">
      <c r="A773" t="s">
        <v>803</v>
      </c>
      <c r="B773" s="1" t="str">
        <f>"13-2081"</f>
        <v>13-2081</v>
      </c>
      <c r="C773" s="1">
        <v>55.3</v>
      </c>
      <c r="D773" s="1">
        <v>51.6</v>
      </c>
      <c r="E773" s="1">
        <v>-3.7</v>
      </c>
      <c r="F773" s="1">
        <v>-6.7</v>
      </c>
      <c r="G773" s="1">
        <v>4.3</v>
      </c>
      <c r="H773" s="2">
        <v>56780</v>
      </c>
      <c r="I773" t="s">
        <v>15</v>
      </c>
      <c r="J773" s="2">
        <v>3</v>
      </c>
      <c r="K773" t="s">
        <v>16</v>
      </c>
      <c r="L773" s="2">
        <v>4</v>
      </c>
      <c r="M773" t="s">
        <v>26</v>
      </c>
      <c r="N773" s="2">
        <v>4</v>
      </c>
    </row>
    <row r="774" spans="1:14">
      <c r="A774" t="s">
        <v>804</v>
      </c>
      <c r="B774" s="1" t="str">
        <f>"13-2082"</f>
        <v>13-2082</v>
      </c>
      <c r="C774" s="1">
        <v>107.9</v>
      </c>
      <c r="D774" s="1">
        <v>112.1</v>
      </c>
      <c r="E774" s="1">
        <v>4.3</v>
      </c>
      <c r="F774" s="1">
        <v>3.9</v>
      </c>
      <c r="G774" s="1">
        <v>13</v>
      </c>
      <c r="H774" s="2">
        <v>46290</v>
      </c>
      <c r="I774" t="s">
        <v>25</v>
      </c>
      <c r="J774" s="2">
        <v>7</v>
      </c>
      <c r="K774" t="s">
        <v>16</v>
      </c>
      <c r="L774" s="2">
        <v>4</v>
      </c>
      <c r="M774" t="s">
        <v>26</v>
      </c>
      <c r="N774" s="2">
        <v>4</v>
      </c>
    </row>
    <row r="775" spans="1:14">
      <c r="A775" t="s">
        <v>805</v>
      </c>
      <c r="B775" s="1" t="str">
        <f>"53-3054"</f>
        <v>53-3054</v>
      </c>
      <c r="C775" s="1">
        <v>128.5</v>
      </c>
      <c r="D775" s="1">
        <v>165.1</v>
      </c>
      <c r="E775" s="1">
        <v>36.6</v>
      </c>
      <c r="F775" s="1">
        <v>28.5</v>
      </c>
      <c r="G775" s="1">
        <v>19.4</v>
      </c>
      <c r="H775" s="2">
        <v>29310</v>
      </c>
      <c r="I775" t="s">
        <v>42</v>
      </c>
      <c r="J775" s="2">
        <v>8</v>
      </c>
      <c r="K775" t="s">
        <v>16</v>
      </c>
      <c r="L775" s="2">
        <v>4</v>
      </c>
      <c r="M775" t="s">
        <v>30</v>
      </c>
      <c r="N775" s="2">
        <v>5</v>
      </c>
    </row>
    <row r="776" spans="1:14">
      <c r="A776" t="s">
        <v>806</v>
      </c>
      <c r="B776" s="1" t="str">
        <f>"25-3099"</f>
        <v>25-3099</v>
      </c>
      <c r="C776" s="1">
        <v>211.6</v>
      </c>
      <c r="D776" s="1">
        <v>227.8</v>
      </c>
      <c r="E776" s="1">
        <v>16.2</v>
      </c>
      <c r="F776" s="1">
        <v>7.6</v>
      </c>
      <c r="G776" s="1">
        <v>26.6</v>
      </c>
      <c r="H776" s="2">
        <v>50540</v>
      </c>
      <c r="I776" t="s">
        <v>15</v>
      </c>
      <c r="J776" s="2">
        <v>3</v>
      </c>
      <c r="K776" t="s">
        <v>16</v>
      </c>
      <c r="L776" s="2">
        <v>4</v>
      </c>
      <c r="M776" t="s">
        <v>16</v>
      </c>
      <c r="N776" s="2">
        <v>6</v>
      </c>
    </row>
    <row r="777" spans="1:14">
      <c r="A777" t="s">
        <v>807</v>
      </c>
      <c r="B777" s="1" t="str">
        <f>"25-9045"</f>
        <v>25-9045</v>
      </c>
      <c r="C777" s="1">
        <v>1235.1</v>
      </c>
      <c r="D777" s="1">
        <v>1297.2</v>
      </c>
      <c r="E777" s="1">
        <v>62.1</v>
      </c>
      <c r="F777" s="1">
        <v>5</v>
      </c>
      <c r="G777" s="1">
        <v>153.7</v>
      </c>
      <c r="H777" s="2">
        <v>29360</v>
      </c>
      <c r="I777" t="s">
        <v>19</v>
      </c>
      <c r="J777" s="2">
        <v>6</v>
      </c>
      <c r="K777" t="s">
        <v>16</v>
      </c>
      <c r="L777" s="2">
        <v>4</v>
      </c>
      <c r="M777" t="s">
        <v>16</v>
      </c>
      <c r="N777" s="2">
        <v>6</v>
      </c>
    </row>
    <row r="778" spans="1:14">
      <c r="A778" t="s">
        <v>808</v>
      </c>
      <c r="B778" s="1" t="str">
        <f>"25-9044"</f>
        <v>25-9044</v>
      </c>
      <c r="C778" s="1">
        <v>155.8</v>
      </c>
      <c r="D778" s="1">
        <v>168.3</v>
      </c>
      <c r="E778" s="1">
        <v>12.4</v>
      </c>
      <c r="F778" s="1">
        <v>8</v>
      </c>
      <c r="G778" s="1">
        <v>20.1</v>
      </c>
      <c r="H778" s="2">
        <v>38040</v>
      </c>
      <c r="I778" t="s">
        <v>15</v>
      </c>
      <c r="J778" s="2">
        <v>3</v>
      </c>
      <c r="K778" t="s">
        <v>16</v>
      </c>
      <c r="L778" s="2">
        <v>4</v>
      </c>
      <c r="M778" t="s">
        <v>16</v>
      </c>
      <c r="N778" s="2">
        <v>6</v>
      </c>
    </row>
    <row r="779" spans="1:14">
      <c r="A779" t="s">
        <v>809</v>
      </c>
      <c r="B779" s="1" t="str">
        <f>"27-3042"</f>
        <v>27-3042</v>
      </c>
      <c r="C779" s="1">
        <v>55.4</v>
      </c>
      <c r="D779" s="1">
        <v>58.4</v>
      </c>
      <c r="E779" s="1">
        <v>3.1</v>
      </c>
      <c r="F779" s="1">
        <v>5.5</v>
      </c>
      <c r="G779" s="1">
        <v>5.4</v>
      </c>
      <c r="H779" s="2">
        <v>78060</v>
      </c>
      <c r="I779" t="s">
        <v>15</v>
      </c>
      <c r="J779" s="2">
        <v>3</v>
      </c>
      <c r="K779" t="s">
        <v>32</v>
      </c>
      <c r="L779" s="2">
        <v>2</v>
      </c>
      <c r="M779" t="s">
        <v>30</v>
      </c>
      <c r="N779" s="2">
        <v>5</v>
      </c>
    </row>
    <row r="780" spans="1:14">
      <c r="A780" t="s">
        <v>810</v>
      </c>
      <c r="B780" s="1" t="str">
        <f>"49-2022"</f>
        <v>49-2022</v>
      </c>
      <c r="C780" s="1">
        <v>178</v>
      </c>
      <c r="D780" s="1">
        <v>192.3</v>
      </c>
      <c r="E780" s="1">
        <v>14.4</v>
      </c>
      <c r="F780" s="1">
        <v>8.1</v>
      </c>
      <c r="G780" s="1">
        <v>22.5</v>
      </c>
      <c r="H780" s="2">
        <v>60370</v>
      </c>
      <c r="I780" t="s">
        <v>50</v>
      </c>
      <c r="J780" s="2">
        <v>5</v>
      </c>
      <c r="K780" t="s">
        <v>16</v>
      </c>
      <c r="L780" s="2">
        <v>4</v>
      </c>
      <c r="M780" t="s">
        <v>26</v>
      </c>
      <c r="N780" s="2">
        <v>4</v>
      </c>
    </row>
    <row r="781" spans="1:14">
      <c r="A781" t="s">
        <v>811</v>
      </c>
      <c r="B781" s="1" t="str">
        <f>"49-9052"</f>
        <v>49-9052</v>
      </c>
      <c r="C781" s="1">
        <v>103.8</v>
      </c>
      <c r="D781" s="1">
        <v>113.4</v>
      </c>
      <c r="E781" s="1">
        <v>9.6</v>
      </c>
      <c r="F781" s="1">
        <v>9.2</v>
      </c>
      <c r="G781" s="1">
        <v>12.4</v>
      </c>
      <c r="H781" s="2">
        <v>60190</v>
      </c>
      <c r="I781" t="s">
        <v>25</v>
      </c>
      <c r="J781" s="2">
        <v>7</v>
      </c>
      <c r="K781" t="s">
        <v>16</v>
      </c>
      <c r="L781" s="2">
        <v>4</v>
      </c>
      <c r="M781" t="s">
        <v>20</v>
      </c>
      <c r="N781" s="2">
        <v>3</v>
      </c>
    </row>
    <row r="782" spans="1:14">
      <c r="A782" t="s">
        <v>812</v>
      </c>
      <c r="B782" s="1" t="str">
        <f>"41-9041"</f>
        <v>41-9041</v>
      </c>
      <c r="C782" s="1">
        <v>115.7</v>
      </c>
      <c r="D782" s="1">
        <v>94.7</v>
      </c>
      <c r="E782" s="1">
        <v>-21</v>
      </c>
      <c r="F782" s="1">
        <v>-18.2</v>
      </c>
      <c r="G782" s="1">
        <v>13.3</v>
      </c>
      <c r="H782" s="2">
        <v>28910</v>
      </c>
      <c r="I782" t="s">
        <v>42</v>
      </c>
      <c r="J782" s="2">
        <v>8</v>
      </c>
      <c r="K782" t="s">
        <v>16</v>
      </c>
      <c r="L782" s="2">
        <v>4</v>
      </c>
      <c r="M782" t="s">
        <v>30</v>
      </c>
      <c r="N782" s="2">
        <v>5</v>
      </c>
    </row>
    <row r="783" spans="1:14">
      <c r="A783" t="s">
        <v>813</v>
      </c>
      <c r="B783" s="1" t="str">
        <f>"43-2021"</f>
        <v>43-2021</v>
      </c>
      <c r="C783" s="1">
        <v>4</v>
      </c>
      <c r="D783" s="1">
        <v>3</v>
      </c>
      <c r="E783" s="1">
        <v>-1</v>
      </c>
      <c r="F783" s="1">
        <v>-24.5</v>
      </c>
      <c r="G783" s="1">
        <v>0.4</v>
      </c>
      <c r="H783" s="2">
        <v>37630</v>
      </c>
      <c r="I783" t="s">
        <v>25</v>
      </c>
      <c r="J783" s="2">
        <v>7</v>
      </c>
      <c r="K783" t="s">
        <v>16</v>
      </c>
      <c r="L783" s="2">
        <v>4</v>
      </c>
      <c r="M783" t="s">
        <v>30</v>
      </c>
      <c r="N783" s="2">
        <v>5</v>
      </c>
    </row>
    <row r="784" spans="1:14">
      <c r="A784" t="s">
        <v>814</v>
      </c>
      <c r="B784" s="1" t="str">
        <f>"43-3071"</f>
        <v>43-3071</v>
      </c>
      <c r="C784" s="1">
        <v>378</v>
      </c>
      <c r="D784" s="1">
        <v>334.3</v>
      </c>
      <c r="E784" s="1">
        <v>-43.7</v>
      </c>
      <c r="F784" s="1">
        <v>-11.6</v>
      </c>
      <c r="G784" s="1">
        <v>35.1</v>
      </c>
      <c r="H784" s="2">
        <v>36310</v>
      </c>
      <c r="I784" t="s">
        <v>25</v>
      </c>
      <c r="J784" s="2">
        <v>7</v>
      </c>
      <c r="K784" t="s">
        <v>16</v>
      </c>
      <c r="L784" s="2">
        <v>4</v>
      </c>
      <c r="M784" t="s">
        <v>30</v>
      </c>
      <c r="N784" s="2">
        <v>5</v>
      </c>
    </row>
    <row r="785" spans="1:14">
      <c r="A785" t="s">
        <v>815</v>
      </c>
      <c r="B785" s="1" t="str">
        <f>"47-2053"</f>
        <v>47-2053</v>
      </c>
      <c r="C785" s="1">
        <v>2.7</v>
      </c>
      <c r="D785" s="1">
        <v>2.4</v>
      </c>
      <c r="E785" s="1">
        <v>-0.3</v>
      </c>
      <c r="F785" s="1">
        <v>-11.2</v>
      </c>
      <c r="G785" s="1">
        <v>0.2</v>
      </c>
      <c r="H785" s="2">
        <v>48680</v>
      </c>
      <c r="I785" t="s">
        <v>25</v>
      </c>
      <c r="J785" s="2">
        <v>7</v>
      </c>
      <c r="K785" t="s">
        <v>16</v>
      </c>
      <c r="L785" s="2">
        <v>4</v>
      </c>
      <c r="M785" t="s">
        <v>104</v>
      </c>
      <c r="N785" s="2">
        <v>2</v>
      </c>
    </row>
    <row r="786" spans="1:14">
      <c r="A786" t="s">
        <v>816</v>
      </c>
      <c r="B786" s="1" t="str">
        <f>"51-6061"</f>
        <v>51-6061</v>
      </c>
      <c r="C786" s="1">
        <v>6.5</v>
      </c>
      <c r="D786" s="1">
        <v>5.6</v>
      </c>
      <c r="E786" s="1">
        <v>-1</v>
      </c>
      <c r="F786" s="1">
        <v>-14.6</v>
      </c>
      <c r="G786" s="1">
        <v>0.7</v>
      </c>
      <c r="H786" s="2">
        <v>29930</v>
      </c>
      <c r="I786" t="s">
        <v>25</v>
      </c>
      <c r="J786" s="2">
        <v>7</v>
      </c>
      <c r="K786" t="s">
        <v>16</v>
      </c>
      <c r="L786" s="2">
        <v>4</v>
      </c>
      <c r="M786" t="s">
        <v>30</v>
      </c>
      <c r="N786" s="2">
        <v>5</v>
      </c>
    </row>
    <row r="787" spans="1:14">
      <c r="A787" t="s">
        <v>817</v>
      </c>
      <c r="B787" s="1" t="str">
        <f>"51-6062"</f>
        <v>51-6062</v>
      </c>
      <c r="C787" s="1">
        <v>12.3</v>
      </c>
      <c r="D787" s="1">
        <v>10.8</v>
      </c>
      <c r="E787" s="1">
        <v>-1.5</v>
      </c>
      <c r="F787" s="1">
        <v>-12.2</v>
      </c>
      <c r="G787" s="1">
        <v>1.4</v>
      </c>
      <c r="H787" s="2">
        <v>29960</v>
      </c>
      <c r="I787" t="s">
        <v>25</v>
      </c>
      <c r="J787" s="2">
        <v>7</v>
      </c>
      <c r="K787" t="s">
        <v>16</v>
      </c>
      <c r="L787" s="2">
        <v>4</v>
      </c>
      <c r="M787" t="s">
        <v>26</v>
      </c>
      <c r="N787" s="2">
        <v>4</v>
      </c>
    </row>
    <row r="788" spans="1:14">
      <c r="A788" t="s">
        <v>818</v>
      </c>
      <c r="B788" s="1" t="str">
        <f>"51-6063"</f>
        <v>51-6063</v>
      </c>
      <c r="C788" s="1">
        <v>17</v>
      </c>
      <c r="D788" s="1">
        <v>14.4</v>
      </c>
      <c r="E788" s="1">
        <v>-2.6</v>
      </c>
      <c r="F788" s="1">
        <v>-15.1</v>
      </c>
      <c r="G788" s="1">
        <v>1.9</v>
      </c>
      <c r="H788" s="2">
        <v>33990</v>
      </c>
      <c r="I788" t="s">
        <v>25</v>
      </c>
      <c r="J788" s="2">
        <v>7</v>
      </c>
      <c r="K788" t="s">
        <v>16</v>
      </c>
      <c r="L788" s="2">
        <v>4</v>
      </c>
      <c r="M788" t="s">
        <v>30</v>
      </c>
      <c r="N788" s="2">
        <v>5</v>
      </c>
    </row>
    <row r="789" spans="1:14">
      <c r="A789" t="s">
        <v>819</v>
      </c>
      <c r="B789" s="1" t="str">
        <f>"51-6064"</f>
        <v>51-6064</v>
      </c>
      <c r="C789" s="1">
        <v>23</v>
      </c>
      <c r="D789" s="1">
        <v>20.1</v>
      </c>
      <c r="E789" s="1">
        <v>-2.9</v>
      </c>
      <c r="F789" s="1">
        <v>-12.4</v>
      </c>
      <c r="G789" s="1">
        <v>2.6</v>
      </c>
      <c r="H789" s="2">
        <v>30020</v>
      </c>
      <c r="I789" t="s">
        <v>25</v>
      </c>
      <c r="J789" s="2">
        <v>7</v>
      </c>
      <c r="K789" t="s">
        <v>16</v>
      </c>
      <c r="L789" s="2">
        <v>4</v>
      </c>
      <c r="M789" t="s">
        <v>26</v>
      </c>
      <c r="N789" s="2">
        <v>4</v>
      </c>
    </row>
    <row r="790" spans="1:14">
      <c r="A790" t="s">
        <v>820</v>
      </c>
      <c r="B790" s="1" t="str">
        <f>"51-6099"</f>
        <v>51-6099</v>
      </c>
      <c r="C790" s="1">
        <v>13.1</v>
      </c>
      <c r="D790" s="1">
        <v>11.9</v>
      </c>
      <c r="E790" s="1">
        <v>-1.3</v>
      </c>
      <c r="F790" s="1">
        <v>-9.7</v>
      </c>
      <c r="G790" s="1">
        <v>1.2</v>
      </c>
      <c r="H790" s="2">
        <v>29750</v>
      </c>
      <c r="I790" t="s">
        <v>25</v>
      </c>
      <c r="J790" s="2">
        <v>7</v>
      </c>
      <c r="K790" t="s">
        <v>16</v>
      </c>
      <c r="L790" s="2">
        <v>4</v>
      </c>
      <c r="M790" t="s">
        <v>30</v>
      </c>
      <c r="N790" s="2">
        <v>5</v>
      </c>
    </row>
    <row r="791" spans="1:14">
      <c r="A791" t="s">
        <v>821</v>
      </c>
      <c r="B791" s="1" t="str">
        <f>"29-1129"</f>
        <v>29-1129</v>
      </c>
      <c r="C791" s="1">
        <v>40.8</v>
      </c>
      <c r="D791" s="1">
        <v>45.4</v>
      </c>
      <c r="E791" s="1">
        <v>4.6</v>
      </c>
      <c r="F791" s="1">
        <v>11.2</v>
      </c>
      <c r="G791" s="1">
        <v>3.3</v>
      </c>
      <c r="H791" s="2">
        <v>59500</v>
      </c>
      <c r="I791" t="s">
        <v>15</v>
      </c>
      <c r="J791" s="2">
        <v>3</v>
      </c>
      <c r="K791" t="s">
        <v>16</v>
      </c>
      <c r="L791" s="2">
        <v>4</v>
      </c>
      <c r="M791" t="s">
        <v>16</v>
      </c>
      <c r="N791" s="2">
        <v>6</v>
      </c>
    </row>
    <row r="792" spans="1:14">
      <c r="A792" t="s">
        <v>822</v>
      </c>
      <c r="B792" s="1" t="str">
        <f>"47-2044"</f>
        <v>47-2044</v>
      </c>
      <c r="C792" s="1">
        <v>56.7</v>
      </c>
      <c r="D792" s="1">
        <v>61.8</v>
      </c>
      <c r="E792" s="1">
        <v>5.1</v>
      </c>
      <c r="F792" s="1">
        <v>9</v>
      </c>
      <c r="G792" s="1">
        <v>5.6</v>
      </c>
      <c r="H792" s="2">
        <v>47810</v>
      </c>
      <c r="I792" t="s">
        <v>42</v>
      </c>
      <c r="J792" s="2">
        <v>8</v>
      </c>
      <c r="K792" t="s">
        <v>16</v>
      </c>
      <c r="L792" s="2">
        <v>4</v>
      </c>
      <c r="M792" t="s">
        <v>20</v>
      </c>
      <c r="N792" s="2">
        <v>3</v>
      </c>
    </row>
    <row r="793" spans="1:14">
      <c r="A793" t="s">
        <v>823</v>
      </c>
      <c r="B793" s="1" t="str">
        <f>"51-2061"</f>
        <v>51-2061</v>
      </c>
      <c r="C793" s="1">
        <v>0.6</v>
      </c>
      <c r="D793" s="1">
        <v>0.5</v>
      </c>
      <c r="E793" s="1">
        <v>-0.1</v>
      </c>
      <c r="F793" s="1">
        <v>-18.3</v>
      </c>
      <c r="G793" s="1">
        <v>0.1</v>
      </c>
      <c r="H793" s="2">
        <v>37780</v>
      </c>
      <c r="I793" t="s">
        <v>25</v>
      </c>
      <c r="J793" s="2">
        <v>7</v>
      </c>
      <c r="K793" t="s">
        <v>16</v>
      </c>
      <c r="L793" s="2">
        <v>4</v>
      </c>
      <c r="M793" t="s">
        <v>26</v>
      </c>
      <c r="N793" s="2">
        <v>4</v>
      </c>
    </row>
    <row r="794" spans="1:14">
      <c r="A794" t="s">
        <v>824</v>
      </c>
      <c r="B794" s="1" t="str">
        <f>"51-9197"</f>
        <v>51-9197</v>
      </c>
      <c r="C794" s="1">
        <v>17.7</v>
      </c>
      <c r="D794" s="1">
        <v>19.1</v>
      </c>
      <c r="E794" s="1">
        <v>1.4</v>
      </c>
      <c r="F794" s="1">
        <v>8.1</v>
      </c>
      <c r="G794" s="1">
        <v>2.1</v>
      </c>
      <c r="H794" s="2">
        <v>47940</v>
      </c>
      <c r="I794" t="s">
        <v>25</v>
      </c>
      <c r="J794" s="2">
        <v>7</v>
      </c>
      <c r="K794" t="s">
        <v>16</v>
      </c>
      <c r="L794" s="2">
        <v>4</v>
      </c>
      <c r="M794" t="s">
        <v>26</v>
      </c>
      <c r="N794" s="2">
        <v>4</v>
      </c>
    </row>
    <row r="795" spans="1:14">
      <c r="A795" t="s">
        <v>825</v>
      </c>
      <c r="B795" s="1" t="str">
        <f>"49-3093"</f>
        <v>49-3093</v>
      </c>
      <c r="C795" s="1">
        <v>95.3</v>
      </c>
      <c r="D795" s="1">
        <v>98.2</v>
      </c>
      <c r="E795" s="1">
        <v>2.9</v>
      </c>
      <c r="F795" s="1">
        <v>3.1</v>
      </c>
      <c r="G795" s="1">
        <v>11.1</v>
      </c>
      <c r="H795" s="2">
        <v>29580</v>
      </c>
      <c r="I795" t="s">
        <v>25</v>
      </c>
      <c r="J795" s="2">
        <v>7</v>
      </c>
      <c r="K795" t="s">
        <v>16</v>
      </c>
      <c r="L795" s="2">
        <v>4</v>
      </c>
      <c r="M795" t="s">
        <v>30</v>
      </c>
      <c r="N795" s="2">
        <v>5</v>
      </c>
    </row>
    <row r="796" spans="1:14">
      <c r="A796" t="s">
        <v>826</v>
      </c>
      <c r="B796" s="1" t="str">
        <f>"23-2093"</f>
        <v>23-2093</v>
      </c>
      <c r="C796" s="1">
        <v>61.2</v>
      </c>
      <c r="D796" s="1">
        <v>62.4</v>
      </c>
      <c r="E796" s="1">
        <v>1.2</v>
      </c>
      <c r="F796" s="1">
        <v>1.9</v>
      </c>
      <c r="G796" s="1">
        <v>6</v>
      </c>
      <c r="H796" s="2">
        <v>47310</v>
      </c>
      <c r="I796" t="s">
        <v>25</v>
      </c>
      <c r="J796" s="2">
        <v>7</v>
      </c>
      <c r="K796" t="s">
        <v>16</v>
      </c>
      <c r="L796" s="2">
        <v>4</v>
      </c>
      <c r="M796" t="s">
        <v>26</v>
      </c>
      <c r="N796" s="2">
        <v>4</v>
      </c>
    </row>
    <row r="797" spans="1:14">
      <c r="A797" t="s">
        <v>827</v>
      </c>
      <c r="B797" s="1" t="str">
        <f>"51-4111"</f>
        <v>51-4111</v>
      </c>
      <c r="C797" s="1">
        <v>65.1</v>
      </c>
      <c r="D797" s="1">
        <v>61</v>
      </c>
      <c r="E797" s="1">
        <v>-4.2</v>
      </c>
      <c r="F797" s="1">
        <v>-6.4</v>
      </c>
      <c r="G797" s="1">
        <v>6.5</v>
      </c>
      <c r="H797" s="2">
        <v>57000</v>
      </c>
      <c r="I797" t="s">
        <v>50</v>
      </c>
      <c r="J797" s="2">
        <v>5</v>
      </c>
      <c r="K797" t="s">
        <v>16</v>
      </c>
      <c r="L797" s="2">
        <v>4</v>
      </c>
      <c r="M797" t="s">
        <v>20</v>
      </c>
      <c r="N797" s="2">
        <v>3</v>
      </c>
    </row>
    <row r="798" spans="1:14">
      <c r="A798" t="s">
        <v>828</v>
      </c>
      <c r="B798" s="1" t="str">
        <f>"51-4194"</f>
        <v>51-4194</v>
      </c>
      <c r="C798" s="1">
        <v>6.3</v>
      </c>
      <c r="D798" s="1">
        <v>5.8</v>
      </c>
      <c r="E798" s="1">
        <v>-0.5</v>
      </c>
      <c r="F798" s="1">
        <v>-7.9</v>
      </c>
      <c r="G798" s="1">
        <v>0.6</v>
      </c>
      <c r="H798" s="2">
        <v>38430</v>
      </c>
      <c r="I798" t="s">
        <v>25</v>
      </c>
      <c r="J798" s="2">
        <v>7</v>
      </c>
      <c r="K798" t="s">
        <v>16</v>
      </c>
      <c r="L798" s="2">
        <v>4</v>
      </c>
      <c r="M798" t="s">
        <v>26</v>
      </c>
      <c r="N798" s="2">
        <v>4</v>
      </c>
    </row>
    <row r="799" spans="1:14">
      <c r="A799" t="s">
        <v>829</v>
      </c>
      <c r="B799" s="1" t="str">
        <f>"39-7010"</f>
        <v>39-7010</v>
      </c>
      <c r="C799" s="1">
        <v>43.4</v>
      </c>
      <c r="D799" s="1">
        <v>50</v>
      </c>
      <c r="E799" s="1">
        <v>6.6</v>
      </c>
      <c r="F799" s="1">
        <v>15.3</v>
      </c>
      <c r="G799" s="1">
        <v>9.6</v>
      </c>
      <c r="H799" s="2">
        <v>29780</v>
      </c>
      <c r="I799" t="s">
        <v>25</v>
      </c>
      <c r="J799" s="2">
        <v>7</v>
      </c>
      <c r="K799" t="s">
        <v>16</v>
      </c>
      <c r="L799" s="2">
        <v>4</v>
      </c>
      <c r="M799" t="s">
        <v>26</v>
      </c>
      <c r="N799" s="2">
        <v>4</v>
      </c>
    </row>
    <row r="800" spans="1:14">
      <c r="A800" t="s">
        <v>830</v>
      </c>
      <c r="B800" s="1" t="str">
        <f>"53-6041"</f>
        <v>53-6041</v>
      </c>
      <c r="C800" s="1">
        <v>8</v>
      </c>
      <c r="D800" s="1">
        <v>8.2</v>
      </c>
      <c r="E800" s="1">
        <v>0.2</v>
      </c>
      <c r="F800" s="1">
        <v>2.3</v>
      </c>
      <c r="G800" s="1">
        <v>1</v>
      </c>
      <c r="H800" s="2">
        <v>48610</v>
      </c>
      <c r="I800" t="s">
        <v>25</v>
      </c>
      <c r="J800" s="2">
        <v>7</v>
      </c>
      <c r="K800" t="s">
        <v>16</v>
      </c>
      <c r="L800" s="2">
        <v>4</v>
      </c>
      <c r="M800" t="s">
        <v>26</v>
      </c>
      <c r="N800" s="2">
        <v>4</v>
      </c>
    </row>
    <row r="801" spans="1:14">
      <c r="A801" t="s">
        <v>831</v>
      </c>
      <c r="B801" s="1" t="str">
        <f>"11-3131"</f>
        <v>11-3131</v>
      </c>
      <c r="C801" s="1">
        <v>38.1</v>
      </c>
      <c r="D801" s="1">
        <v>40.9</v>
      </c>
      <c r="E801" s="1">
        <v>2.9</v>
      </c>
      <c r="F801" s="1">
        <v>7.5</v>
      </c>
      <c r="G801" s="1">
        <v>3.7</v>
      </c>
      <c r="H801" s="2">
        <v>120130</v>
      </c>
      <c r="I801" t="s">
        <v>15</v>
      </c>
      <c r="J801" s="2">
        <v>3</v>
      </c>
      <c r="K801" t="s">
        <v>29</v>
      </c>
      <c r="L801" s="2">
        <v>1</v>
      </c>
      <c r="M801" t="s">
        <v>16</v>
      </c>
      <c r="N801" s="2">
        <v>6</v>
      </c>
    </row>
    <row r="802" spans="1:14">
      <c r="A802" t="s">
        <v>832</v>
      </c>
      <c r="B802" s="1" t="str">
        <f>"13-1151"</f>
        <v>13-1151</v>
      </c>
      <c r="C802" s="1">
        <v>354.8</v>
      </c>
      <c r="D802" s="1">
        <v>383.7</v>
      </c>
      <c r="E802" s="1">
        <v>28.9</v>
      </c>
      <c r="F802" s="1">
        <v>8.1</v>
      </c>
      <c r="G802" s="1">
        <v>36.5</v>
      </c>
      <c r="H802" s="2">
        <v>61570</v>
      </c>
      <c r="I802" t="s">
        <v>15</v>
      </c>
      <c r="J802" s="2">
        <v>3</v>
      </c>
      <c r="K802" t="s">
        <v>32</v>
      </c>
      <c r="L802" s="2">
        <v>2</v>
      </c>
      <c r="M802" t="s">
        <v>16</v>
      </c>
      <c r="N802" s="2">
        <v>6</v>
      </c>
    </row>
    <row r="803" spans="1:14">
      <c r="A803" t="s">
        <v>833</v>
      </c>
      <c r="B803" s="1" t="str">
        <f>"33-3052"</f>
        <v>33-3052</v>
      </c>
      <c r="C803" s="1">
        <v>3.5</v>
      </c>
      <c r="D803" s="1">
        <v>3.6</v>
      </c>
      <c r="E803" s="1">
        <v>0.1</v>
      </c>
      <c r="F803" s="1">
        <v>3.2</v>
      </c>
      <c r="G803" s="1">
        <v>0.3</v>
      </c>
      <c r="H803" s="2">
        <v>64930</v>
      </c>
      <c r="I803" t="s">
        <v>25</v>
      </c>
      <c r="J803" s="2">
        <v>7</v>
      </c>
      <c r="K803" t="s">
        <v>16</v>
      </c>
      <c r="L803" s="2">
        <v>4</v>
      </c>
      <c r="M803" t="s">
        <v>26</v>
      </c>
      <c r="N803" s="2">
        <v>4</v>
      </c>
    </row>
    <row r="804" spans="1:14">
      <c r="A804" t="s">
        <v>834</v>
      </c>
      <c r="B804" s="1" t="str">
        <f>"53-6051"</f>
        <v>53-6051</v>
      </c>
      <c r="C804" s="1">
        <v>24.9</v>
      </c>
      <c r="D804" s="1">
        <v>25.4</v>
      </c>
      <c r="E804" s="1">
        <v>0.5</v>
      </c>
      <c r="F804" s="1">
        <v>1.8</v>
      </c>
      <c r="G804" s="1">
        <v>2.8</v>
      </c>
      <c r="H804" s="2">
        <v>79770</v>
      </c>
      <c r="I804" t="s">
        <v>25</v>
      </c>
      <c r="J804" s="2">
        <v>7</v>
      </c>
      <c r="K804" t="s">
        <v>16</v>
      </c>
      <c r="L804" s="2">
        <v>4</v>
      </c>
      <c r="M804" t="s">
        <v>26</v>
      </c>
      <c r="N804" s="2">
        <v>4</v>
      </c>
    </row>
    <row r="805" spans="1:14">
      <c r="A805" t="s">
        <v>835</v>
      </c>
      <c r="B805" s="1" t="str">
        <f>"33-9093"</f>
        <v>33-9093</v>
      </c>
      <c r="C805" s="1">
        <v>51.6</v>
      </c>
      <c r="D805" s="1">
        <v>50.9</v>
      </c>
      <c r="E805" s="1">
        <v>-0.7</v>
      </c>
      <c r="F805" s="1">
        <v>-1.4</v>
      </c>
      <c r="G805" s="1">
        <v>4.6</v>
      </c>
      <c r="H805" s="2">
        <v>45470</v>
      </c>
      <c r="I805" t="s">
        <v>25</v>
      </c>
      <c r="J805" s="2">
        <v>7</v>
      </c>
      <c r="K805" t="s">
        <v>16</v>
      </c>
      <c r="L805" s="2">
        <v>4</v>
      </c>
      <c r="M805" t="s">
        <v>30</v>
      </c>
      <c r="N805" s="2">
        <v>5</v>
      </c>
    </row>
    <row r="806" spans="1:14">
      <c r="A806" t="s">
        <v>836</v>
      </c>
      <c r="B806" s="1" t="str">
        <f>"53-6099"</f>
        <v>53-6099</v>
      </c>
      <c r="C806" s="1">
        <v>14.5</v>
      </c>
      <c r="D806" s="1">
        <v>15.1</v>
      </c>
      <c r="E806" s="1">
        <v>0.7</v>
      </c>
      <c r="F806" s="1">
        <v>4.6</v>
      </c>
      <c r="G806" s="1">
        <v>1.9</v>
      </c>
      <c r="H806" s="2">
        <v>36880</v>
      </c>
      <c r="I806" t="s">
        <v>25</v>
      </c>
      <c r="J806" s="2">
        <v>7</v>
      </c>
      <c r="K806" t="s">
        <v>16</v>
      </c>
      <c r="L806" s="2">
        <v>4</v>
      </c>
      <c r="M806" t="s">
        <v>30</v>
      </c>
      <c r="N806" s="2">
        <v>5</v>
      </c>
    </row>
    <row r="807" spans="1:14">
      <c r="A807" t="s">
        <v>837</v>
      </c>
      <c r="B807" s="1" t="str">
        <f>"11-3071"</f>
        <v>11-3071</v>
      </c>
      <c r="C807" s="1">
        <v>150.7</v>
      </c>
      <c r="D807" s="1">
        <v>163.4</v>
      </c>
      <c r="E807" s="1">
        <v>12.7</v>
      </c>
      <c r="F807" s="1">
        <v>8.4</v>
      </c>
      <c r="G807" s="1">
        <v>14.2</v>
      </c>
      <c r="H807" s="2">
        <v>98230</v>
      </c>
      <c r="I807" t="s">
        <v>25</v>
      </c>
      <c r="J807" s="2">
        <v>7</v>
      </c>
      <c r="K807" t="s">
        <v>29</v>
      </c>
      <c r="L807" s="2">
        <v>1</v>
      </c>
      <c r="M807" t="s">
        <v>16</v>
      </c>
      <c r="N807" s="2">
        <v>6</v>
      </c>
    </row>
    <row r="808" spans="1:14">
      <c r="A808" t="s">
        <v>838</v>
      </c>
      <c r="B808" s="1" t="str">
        <f>"41-3041"</f>
        <v>41-3041</v>
      </c>
      <c r="C808" s="1">
        <v>46.2</v>
      </c>
      <c r="D808" s="1">
        <v>55.3</v>
      </c>
      <c r="E808" s="1">
        <v>9.1</v>
      </c>
      <c r="F808" s="1">
        <v>19.7</v>
      </c>
      <c r="G808" s="1">
        <v>7.5</v>
      </c>
      <c r="H808" s="2">
        <v>43810</v>
      </c>
      <c r="I808" t="s">
        <v>25</v>
      </c>
      <c r="J808" s="2">
        <v>7</v>
      </c>
      <c r="K808" t="s">
        <v>16</v>
      </c>
      <c r="L808" s="2">
        <v>4</v>
      </c>
      <c r="M808" t="s">
        <v>26</v>
      </c>
      <c r="N808" s="2">
        <v>4</v>
      </c>
    </row>
    <row r="809" spans="1:14">
      <c r="A809" t="s">
        <v>839</v>
      </c>
      <c r="B809" s="1" t="str">
        <f>"37-3013"</f>
        <v>37-3013</v>
      </c>
      <c r="C809" s="1">
        <v>63.7</v>
      </c>
      <c r="D809" s="1">
        <v>65.9</v>
      </c>
      <c r="E809" s="1">
        <v>2.1</v>
      </c>
      <c r="F809" s="1">
        <v>3.4</v>
      </c>
      <c r="G809" s="1">
        <v>9.1</v>
      </c>
      <c r="H809" s="2">
        <v>46970</v>
      </c>
      <c r="I809" t="s">
        <v>25</v>
      </c>
      <c r="J809" s="2">
        <v>7</v>
      </c>
      <c r="K809" t="s">
        <v>16</v>
      </c>
      <c r="L809" s="2">
        <v>4</v>
      </c>
      <c r="M809" t="s">
        <v>30</v>
      </c>
      <c r="N809" s="2">
        <v>5</v>
      </c>
    </row>
    <row r="810" spans="1:14">
      <c r="A810" t="s">
        <v>840</v>
      </c>
      <c r="B810" s="1" t="str">
        <f>"25-3041"</f>
        <v>25-3041</v>
      </c>
      <c r="C810" s="1">
        <v>203.4</v>
      </c>
      <c r="D810" s="1">
        <v>232.9</v>
      </c>
      <c r="E810" s="1">
        <v>29.5</v>
      </c>
      <c r="F810" s="1">
        <v>14.5</v>
      </c>
      <c r="G810" s="1">
        <v>35</v>
      </c>
      <c r="H810" s="2">
        <v>36470</v>
      </c>
      <c r="I810" t="s">
        <v>19</v>
      </c>
      <c r="J810" s="2">
        <v>6</v>
      </c>
      <c r="K810" t="s">
        <v>16</v>
      </c>
      <c r="L810" s="2">
        <v>4</v>
      </c>
      <c r="M810" t="s">
        <v>16</v>
      </c>
      <c r="N810" s="2">
        <v>6</v>
      </c>
    </row>
    <row r="811" spans="1:14">
      <c r="A811" t="s">
        <v>841</v>
      </c>
      <c r="B811" s="1" t="str">
        <f>"27-2023"</f>
        <v>27-2023</v>
      </c>
      <c r="C811" s="1">
        <v>13.2</v>
      </c>
      <c r="D811" s="1">
        <v>17.4</v>
      </c>
      <c r="E811" s="1">
        <v>4.2</v>
      </c>
      <c r="F811" s="1">
        <v>31.7</v>
      </c>
      <c r="G811" s="1">
        <v>3.6</v>
      </c>
      <c r="H811" s="2">
        <v>35860</v>
      </c>
      <c r="I811" t="s">
        <v>25</v>
      </c>
      <c r="J811" s="2">
        <v>7</v>
      </c>
      <c r="K811" t="s">
        <v>16</v>
      </c>
      <c r="L811" s="2">
        <v>4</v>
      </c>
      <c r="M811" t="s">
        <v>26</v>
      </c>
      <c r="N811" s="2">
        <v>4</v>
      </c>
    </row>
    <row r="812" spans="1:14">
      <c r="A812" t="s">
        <v>842</v>
      </c>
      <c r="B812" s="1" t="str">
        <f>"47-5049"</f>
        <v>47-5049</v>
      </c>
      <c r="C812" s="1">
        <v>3.2</v>
      </c>
      <c r="D812" s="1">
        <v>3</v>
      </c>
      <c r="E812" s="1">
        <v>-0.2</v>
      </c>
      <c r="F812" s="1">
        <v>-5.2</v>
      </c>
      <c r="G812" s="1">
        <v>0.4</v>
      </c>
      <c r="H812" s="2">
        <v>61260</v>
      </c>
      <c r="I812" t="s">
        <v>42</v>
      </c>
      <c r="J812" s="2">
        <v>8</v>
      </c>
      <c r="K812" t="s">
        <v>16</v>
      </c>
      <c r="L812" s="2">
        <v>4</v>
      </c>
      <c r="M812" t="s">
        <v>26</v>
      </c>
      <c r="N812" s="2">
        <v>4</v>
      </c>
    </row>
    <row r="813" spans="1:14">
      <c r="A813" t="s">
        <v>843</v>
      </c>
      <c r="B813" s="1" t="str">
        <f>"51-6093"</f>
        <v>51-6093</v>
      </c>
      <c r="C813" s="1">
        <v>34.5</v>
      </c>
      <c r="D813" s="1">
        <v>35.7</v>
      </c>
      <c r="E813" s="1">
        <v>1.2</v>
      </c>
      <c r="F813" s="1">
        <v>3.3</v>
      </c>
      <c r="G813" s="1">
        <v>3.7</v>
      </c>
      <c r="H813" s="2">
        <v>37420</v>
      </c>
      <c r="I813" t="s">
        <v>25</v>
      </c>
      <c r="J813" s="2">
        <v>7</v>
      </c>
      <c r="K813" t="s">
        <v>16</v>
      </c>
      <c r="L813" s="2">
        <v>4</v>
      </c>
      <c r="M813" t="s">
        <v>26</v>
      </c>
      <c r="N813" s="2">
        <v>4</v>
      </c>
    </row>
    <row r="814" spans="1:14">
      <c r="A814" t="s">
        <v>844</v>
      </c>
      <c r="B814" s="1" t="str">
        <f>"19-3051"</f>
        <v>19-3051</v>
      </c>
      <c r="C814" s="1">
        <v>41.9</v>
      </c>
      <c r="D814" s="1">
        <v>43.5</v>
      </c>
      <c r="E814" s="1">
        <v>1.6</v>
      </c>
      <c r="F814" s="1">
        <v>3.8</v>
      </c>
      <c r="G814" s="1">
        <v>3.8</v>
      </c>
      <c r="H814" s="2">
        <v>78500</v>
      </c>
      <c r="I814" t="s">
        <v>23</v>
      </c>
      <c r="J814" s="2">
        <v>2</v>
      </c>
      <c r="K814" t="s">
        <v>16</v>
      </c>
      <c r="L814" s="2">
        <v>4</v>
      </c>
      <c r="M814" t="s">
        <v>16</v>
      </c>
      <c r="N814" s="2">
        <v>6</v>
      </c>
    </row>
    <row r="815" spans="1:14">
      <c r="A815" t="s">
        <v>845</v>
      </c>
      <c r="B815" s="1" t="str">
        <f>"39-3031"</f>
        <v>39-3031</v>
      </c>
      <c r="C815" s="1">
        <v>63.2</v>
      </c>
      <c r="D815" s="1">
        <v>88.8</v>
      </c>
      <c r="E815" s="1">
        <v>25.6</v>
      </c>
      <c r="F815" s="1">
        <v>40.5</v>
      </c>
      <c r="G815" s="1">
        <v>24.1</v>
      </c>
      <c r="H815" s="2">
        <v>24440</v>
      </c>
      <c r="I815" t="s">
        <v>42</v>
      </c>
      <c r="J815" s="2">
        <v>8</v>
      </c>
      <c r="K815" t="s">
        <v>16</v>
      </c>
      <c r="L815" s="2">
        <v>4</v>
      </c>
      <c r="M815" t="s">
        <v>30</v>
      </c>
      <c r="N815" s="2">
        <v>5</v>
      </c>
    </row>
    <row r="816" spans="1:14">
      <c r="A816" t="s">
        <v>846</v>
      </c>
      <c r="B816" s="1" t="str">
        <f>"29-1131"</f>
        <v>29-1131</v>
      </c>
      <c r="C816" s="1">
        <v>86.3</v>
      </c>
      <c r="D816" s="1">
        <v>103.1</v>
      </c>
      <c r="E816" s="1">
        <v>16.8</v>
      </c>
      <c r="F816" s="1">
        <v>19.4</v>
      </c>
      <c r="G816" s="1">
        <v>4.8</v>
      </c>
      <c r="H816" s="2">
        <v>100370</v>
      </c>
      <c r="I816" t="s">
        <v>28</v>
      </c>
      <c r="J816" s="2">
        <v>1</v>
      </c>
      <c r="K816" t="s">
        <v>16</v>
      </c>
      <c r="L816" s="2">
        <v>4</v>
      </c>
      <c r="M816" t="s">
        <v>16</v>
      </c>
      <c r="N816" s="2">
        <v>6</v>
      </c>
    </row>
    <row r="817" spans="1:14">
      <c r="A817" t="s">
        <v>847</v>
      </c>
      <c r="B817" s="1" t="str">
        <f>"31-9096"</f>
        <v>31-9096</v>
      </c>
      <c r="C817" s="1">
        <v>103.5</v>
      </c>
      <c r="D817" s="1">
        <v>123.5</v>
      </c>
      <c r="E817" s="1">
        <v>20</v>
      </c>
      <c r="F817" s="1">
        <v>19.4</v>
      </c>
      <c r="G817" s="1">
        <v>23.9</v>
      </c>
      <c r="H817" s="2">
        <v>29780</v>
      </c>
      <c r="I817" t="s">
        <v>25</v>
      </c>
      <c r="J817" s="2">
        <v>7</v>
      </c>
      <c r="K817" t="s">
        <v>16</v>
      </c>
      <c r="L817" s="2">
        <v>4</v>
      </c>
      <c r="M817" t="s">
        <v>30</v>
      </c>
      <c r="N817" s="2">
        <v>5</v>
      </c>
    </row>
    <row r="818" spans="1:14">
      <c r="A818" t="s">
        <v>848</v>
      </c>
      <c r="B818" s="1" t="str">
        <f>"29-2056"</f>
        <v>29-2056</v>
      </c>
      <c r="C818" s="1">
        <v>122.8</v>
      </c>
      <c r="D818" s="1">
        <v>146.9</v>
      </c>
      <c r="E818" s="1">
        <v>24.1</v>
      </c>
      <c r="F818" s="1">
        <v>19.6</v>
      </c>
      <c r="G818" s="1">
        <v>15.5</v>
      </c>
      <c r="H818" s="2">
        <v>36850</v>
      </c>
      <c r="I818" t="s">
        <v>37</v>
      </c>
      <c r="J818" s="2">
        <v>4</v>
      </c>
      <c r="K818" t="s">
        <v>16</v>
      </c>
      <c r="L818" s="2">
        <v>4</v>
      </c>
      <c r="M818" t="s">
        <v>16</v>
      </c>
      <c r="N818" s="2">
        <v>6</v>
      </c>
    </row>
    <row r="819" spans="1:14">
      <c r="A819" t="s">
        <v>849</v>
      </c>
      <c r="B819" s="1" t="str">
        <f>"35-3031"</f>
        <v>35-3031</v>
      </c>
      <c r="C819" s="1">
        <v>1904.4</v>
      </c>
      <c r="D819" s="1">
        <v>2101.4</v>
      </c>
      <c r="E819" s="1">
        <v>197</v>
      </c>
      <c r="F819" s="1">
        <v>10.3</v>
      </c>
      <c r="G819" s="1">
        <v>425.8</v>
      </c>
      <c r="H819" s="2">
        <v>26000</v>
      </c>
      <c r="I819" t="s">
        <v>42</v>
      </c>
      <c r="J819" s="2">
        <v>8</v>
      </c>
      <c r="K819" t="s">
        <v>16</v>
      </c>
      <c r="L819" s="2">
        <v>4</v>
      </c>
      <c r="M819" t="s">
        <v>30</v>
      </c>
      <c r="N819" s="2">
        <v>5</v>
      </c>
    </row>
    <row r="820" spans="1:14">
      <c r="A820" t="s">
        <v>850</v>
      </c>
      <c r="B820" s="1" t="str">
        <f>"49-9064"</f>
        <v>49-9064</v>
      </c>
      <c r="C820" s="1">
        <v>2.2</v>
      </c>
      <c r="D820" s="1">
        <v>1.7</v>
      </c>
      <c r="E820" s="1">
        <v>-0.5</v>
      </c>
      <c r="F820" s="1">
        <v>-24.7</v>
      </c>
      <c r="G820" s="1">
        <v>0.1</v>
      </c>
      <c r="H820" s="2">
        <v>44250</v>
      </c>
      <c r="I820" t="s">
        <v>25</v>
      </c>
      <c r="J820" s="2">
        <v>7</v>
      </c>
      <c r="K820" t="s">
        <v>16</v>
      </c>
      <c r="L820" s="2">
        <v>4</v>
      </c>
      <c r="M820" t="s">
        <v>20</v>
      </c>
      <c r="N820" s="2">
        <v>3</v>
      </c>
    </row>
    <row r="821" spans="1:14">
      <c r="A821" t="s">
        <v>851</v>
      </c>
      <c r="B821" s="1" t="str">
        <f>"51-8031"</f>
        <v>51-8031</v>
      </c>
      <c r="C821" s="1">
        <v>125.2</v>
      </c>
      <c r="D821" s="1">
        <v>116.6</v>
      </c>
      <c r="E821" s="1">
        <v>-8.6</v>
      </c>
      <c r="F821" s="1">
        <v>-6.9</v>
      </c>
      <c r="G821" s="1">
        <v>10.8</v>
      </c>
      <c r="H821" s="2">
        <v>47880</v>
      </c>
      <c r="I821" t="s">
        <v>25</v>
      </c>
      <c r="J821" s="2">
        <v>7</v>
      </c>
      <c r="K821" t="s">
        <v>16</v>
      </c>
      <c r="L821" s="2">
        <v>4</v>
      </c>
      <c r="M821" t="s">
        <v>20</v>
      </c>
      <c r="N821" s="2">
        <v>3</v>
      </c>
    </row>
    <row r="822" spans="1:14">
      <c r="A822" t="s">
        <v>852</v>
      </c>
      <c r="B822" s="1" t="str">
        <f>"15-1255"</f>
        <v>15-1255</v>
      </c>
      <c r="C822" s="1">
        <v>101.8</v>
      </c>
      <c r="D822" s="1">
        <v>118.4</v>
      </c>
      <c r="E822" s="1">
        <v>16.6</v>
      </c>
      <c r="F822" s="1">
        <v>16.3</v>
      </c>
      <c r="G822" s="1">
        <v>10.8</v>
      </c>
      <c r="H822" s="2">
        <v>79890</v>
      </c>
      <c r="I822" t="s">
        <v>15</v>
      </c>
      <c r="J822" s="2">
        <v>3</v>
      </c>
      <c r="K822" t="s">
        <v>16</v>
      </c>
      <c r="L822" s="2">
        <v>4</v>
      </c>
      <c r="M822" t="s">
        <v>16</v>
      </c>
      <c r="N822" s="2">
        <v>6</v>
      </c>
    </row>
    <row r="823" spans="1:14">
      <c r="A823" t="s">
        <v>853</v>
      </c>
      <c r="B823" s="1" t="str">
        <f>"15-1254"</f>
        <v>15-1254</v>
      </c>
      <c r="C823" s="1">
        <v>95.3</v>
      </c>
      <c r="D823" s="1">
        <v>124.1</v>
      </c>
      <c r="E823" s="1">
        <v>28.9</v>
      </c>
      <c r="F823" s="1">
        <v>30.3</v>
      </c>
      <c r="G823" s="1">
        <v>11</v>
      </c>
      <c r="H823" s="2">
        <v>77030</v>
      </c>
      <c r="I823" t="s">
        <v>15</v>
      </c>
      <c r="J823" s="2">
        <v>3</v>
      </c>
      <c r="K823" t="s">
        <v>16</v>
      </c>
      <c r="L823" s="2">
        <v>4</v>
      </c>
      <c r="M823" t="s">
        <v>16</v>
      </c>
      <c r="N823" s="2">
        <v>6</v>
      </c>
    </row>
    <row r="824" spans="1:14">
      <c r="A824" t="s">
        <v>854</v>
      </c>
      <c r="B824" s="1" t="str">
        <f>"43-5111"</f>
        <v>43-5111</v>
      </c>
      <c r="C824" s="1">
        <v>55.9</v>
      </c>
      <c r="D824" s="1">
        <v>56</v>
      </c>
      <c r="E824" s="1">
        <v>0.1</v>
      </c>
      <c r="F824" s="1">
        <v>0.1</v>
      </c>
      <c r="G824" s="1">
        <v>6.4</v>
      </c>
      <c r="H824" s="2">
        <v>37610</v>
      </c>
      <c r="I824" t="s">
        <v>25</v>
      </c>
      <c r="J824" s="2">
        <v>7</v>
      </c>
      <c r="K824" t="s">
        <v>16</v>
      </c>
      <c r="L824" s="2">
        <v>4</v>
      </c>
      <c r="M824" t="s">
        <v>30</v>
      </c>
      <c r="N824" s="2">
        <v>5</v>
      </c>
    </row>
    <row r="825" spans="1:14">
      <c r="A825" t="s">
        <v>855</v>
      </c>
      <c r="B825" s="1" t="str">
        <f>"51-4121"</f>
        <v>51-4121</v>
      </c>
      <c r="C825" s="1">
        <v>428</v>
      </c>
      <c r="D825" s="1">
        <v>434.9</v>
      </c>
      <c r="E825" s="1">
        <v>6.9</v>
      </c>
      <c r="F825" s="1">
        <v>1.6</v>
      </c>
      <c r="G825" s="1">
        <v>47.6</v>
      </c>
      <c r="H825" s="2">
        <v>47010</v>
      </c>
      <c r="I825" t="s">
        <v>25</v>
      </c>
      <c r="J825" s="2">
        <v>7</v>
      </c>
      <c r="K825" t="s">
        <v>16</v>
      </c>
      <c r="L825" s="2">
        <v>4</v>
      </c>
      <c r="M825" t="s">
        <v>26</v>
      </c>
      <c r="N825" s="2">
        <v>4</v>
      </c>
    </row>
    <row r="826" spans="1:14">
      <c r="A826" t="s">
        <v>856</v>
      </c>
      <c r="B826" s="1" t="str">
        <f>"51-4122"</f>
        <v>51-4122</v>
      </c>
      <c r="C826" s="1">
        <v>32.3</v>
      </c>
      <c r="D826" s="1">
        <v>29.7</v>
      </c>
      <c r="E826" s="1">
        <v>-2.6</v>
      </c>
      <c r="F826" s="1">
        <v>-7.9</v>
      </c>
      <c r="G826" s="1">
        <v>3.1</v>
      </c>
      <c r="H826" s="2">
        <v>38580</v>
      </c>
      <c r="I826" t="s">
        <v>25</v>
      </c>
      <c r="J826" s="2">
        <v>7</v>
      </c>
      <c r="K826" t="s">
        <v>16</v>
      </c>
      <c r="L826" s="2">
        <v>4</v>
      </c>
      <c r="M826" t="s">
        <v>26</v>
      </c>
      <c r="N826" s="2">
        <v>4</v>
      </c>
    </row>
    <row r="827" spans="1:14">
      <c r="A827" t="s">
        <v>857</v>
      </c>
      <c r="B827" s="1" t="str">
        <f>"53-7073"</f>
        <v>53-7073</v>
      </c>
      <c r="C827" s="1">
        <v>18</v>
      </c>
      <c r="D827" s="1">
        <v>18.6</v>
      </c>
      <c r="E827" s="1">
        <v>0.6</v>
      </c>
      <c r="F827" s="1">
        <v>3.3</v>
      </c>
      <c r="G827" s="1">
        <v>2.3</v>
      </c>
      <c r="H827" s="2">
        <v>63740</v>
      </c>
      <c r="I827" t="s">
        <v>25</v>
      </c>
      <c r="J827" s="2">
        <v>7</v>
      </c>
      <c r="K827" t="s">
        <v>32</v>
      </c>
      <c r="L827" s="2">
        <v>2</v>
      </c>
      <c r="M827" t="s">
        <v>26</v>
      </c>
      <c r="N827" s="2">
        <v>4</v>
      </c>
    </row>
    <row r="828" spans="1:14">
      <c r="A828" t="s">
        <v>858</v>
      </c>
      <c r="B828" s="1" t="str">
        <f>"49-9081"</f>
        <v>49-9081</v>
      </c>
      <c r="C828" s="1">
        <v>11.1</v>
      </c>
      <c r="D828" s="1">
        <v>16.1</v>
      </c>
      <c r="E828" s="1">
        <v>4.9</v>
      </c>
      <c r="F828" s="1">
        <v>44.3</v>
      </c>
      <c r="G828" s="1">
        <v>1.9</v>
      </c>
      <c r="H828" s="2">
        <v>56260</v>
      </c>
      <c r="I828" t="s">
        <v>50</v>
      </c>
      <c r="J828" s="2">
        <v>5</v>
      </c>
      <c r="K828" t="s">
        <v>16</v>
      </c>
      <c r="L828" s="2">
        <v>4</v>
      </c>
      <c r="M828" t="s">
        <v>20</v>
      </c>
      <c r="N828" s="2">
        <v>3</v>
      </c>
    </row>
    <row r="829" spans="1:14">
      <c r="A829" t="s">
        <v>859</v>
      </c>
      <c r="B829" s="1" t="str">
        <f>"51-7099"</f>
        <v>51-7099</v>
      </c>
      <c r="C829" s="1">
        <v>11.4</v>
      </c>
      <c r="D829" s="1">
        <v>12.3</v>
      </c>
      <c r="E829" s="1">
        <v>0.9</v>
      </c>
      <c r="F829" s="1">
        <v>7.7</v>
      </c>
      <c r="G829" s="1">
        <v>1.4</v>
      </c>
      <c r="H829" s="2">
        <v>35610</v>
      </c>
      <c r="I829" t="s">
        <v>25</v>
      </c>
      <c r="J829" s="2">
        <v>7</v>
      </c>
      <c r="K829" t="s">
        <v>16</v>
      </c>
      <c r="L829" s="2">
        <v>4</v>
      </c>
      <c r="M829" t="s">
        <v>26</v>
      </c>
      <c r="N829" s="2">
        <v>4</v>
      </c>
    </row>
    <row r="830" spans="1:14">
      <c r="A830" t="s">
        <v>860</v>
      </c>
      <c r="B830" s="1" t="str">
        <f>"51-7042"</f>
        <v>51-7042</v>
      </c>
      <c r="C830" s="1">
        <v>69.4</v>
      </c>
      <c r="D830" s="1">
        <v>71.7</v>
      </c>
      <c r="E830" s="1">
        <v>2.2</v>
      </c>
      <c r="F830" s="1">
        <v>3.2</v>
      </c>
      <c r="G830" s="1">
        <v>7.2</v>
      </c>
      <c r="H830" s="2">
        <v>36090</v>
      </c>
      <c r="I830" t="s">
        <v>25</v>
      </c>
      <c r="J830" s="2">
        <v>7</v>
      </c>
      <c r="K830" t="s">
        <v>16</v>
      </c>
      <c r="L830" s="2">
        <v>4</v>
      </c>
      <c r="M830" t="s">
        <v>26</v>
      </c>
      <c r="N830" s="2">
        <v>4</v>
      </c>
    </row>
    <row r="831" spans="1:14">
      <c r="A831" t="s">
        <v>861</v>
      </c>
      <c r="B831" s="1" t="str">
        <f>"43-9022"</f>
        <v>43-9022</v>
      </c>
      <c r="C831" s="1">
        <v>46.1</v>
      </c>
      <c r="D831" s="1">
        <v>28.5</v>
      </c>
      <c r="E831" s="1">
        <v>-17.6</v>
      </c>
      <c r="F831" s="1">
        <v>-38.2</v>
      </c>
      <c r="G831" s="1">
        <v>3.1</v>
      </c>
      <c r="H831" s="2">
        <v>44030</v>
      </c>
      <c r="I831" t="s">
        <v>25</v>
      </c>
      <c r="J831" s="2">
        <v>7</v>
      </c>
      <c r="K831" t="s">
        <v>16</v>
      </c>
      <c r="L831" s="2">
        <v>4</v>
      </c>
      <c r="M831" t="s">
        <v>30</v>
      </c>
      <c r="N831" s="2">
        <v>5</v>
      </c>
    </row>
    <row r="832" spans="1:14">
      <c r="A832" t="s">
        <v>862</v>
      </c>
      <c r="B832" s="1" t="str">
        <f>"27-3043"</f>
        <v>27-3043</v>
      </c>
      <c r="C832" s="1">
        <v>142.8</v>
      </c>
      <c r="D832" s="1">
        <v>148.7</v>
      </c>
      <c r="E832" s="1">
        <v>5.9</v>
      </c>
      <c r="F832" s="1">
        <v>4.1</v>
      </c>
      <c r="G832" s="1">
        <v>15.2</v>
      </c>
      <c r="H832" s="2">
        <v>69510</v>
      </c>
      <c r="I832" t="s">
        <v>15</v>
      </c>
      <c r="J832" s="2">
        <v>3</v>
      </c>
      <c r="K832" t="s">
        <v>16</v>
      </c>
      <c r="L832" s="2">
        <v>4</v>
      </c>
      <c r="M832" t="s">
        <v>20</v>
      </c>
      <c r="N832" s="2">
        <v>3</v>
      </c>
    </row>
    <row r="833" spans="1:14">
      <c r="A833" t="s">
        <v>863</v>
      </c>
      <c r="B833" s="1" t="str">
        <f>"19-1023"</f>
        <v>19-1023</v>
      </c>
      <c r="C833" s="1">
        <v>17.1</v>
      </c>
      <c r="D833" s="1">
        <v>17.2</v>
      </c>
      <c r="E833" s="1">
        <v>0.1</v>
      </c>
      <c r="F833" s="1">
        <v>0.7</v>
      </c>
      <c r="G833" s="1">
        <v>1.5</v>
      </c>
      <c r="H833" s="2">
        <v>64650</v>
      </c>
      <c r="I833" t="s">
        <v>15</v>
      </c>
      <c r="J833" s="2">
        <v>3</v>
      </c>
      <c r="K833" t="s">
        <v>16</v>
      </c>
      <c r="L833" s="2">
        <v>4</v>
      </c>
      <c r="M833" t="s">
        <v>16</v>
      </c>
      <c r="N833" s="2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Employment Projections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2022-12-18T22:27:00Z</dcterms:created>
  <dcterms:modified xsi:type="dcterms:W3CDTF">2022-12-18T22:09:08Z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