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 YADAV\OneDrive - IIT Kanpur\Desktop\"/>
    </mc:Choice>
  </mc:AlternateContent>
  <xr:revisionPtr revIDLastSave="0" documentId="13_ncr:1_{940D301C-E98C-40DB-8027-C076E27FE292}" xr6:coauthVersionLast="47" xr6:coauthVersionMax="47" xr10:uidLastSave="{00000000-0000-0000-0000-000000000000}"/>
  <bookViews>
    <workbookView xWindow="-108" yWindow="-108" windowWidth="23256" windowHeight="13176" activeTab="2" xr2:uid="{B3F023B2-D656-4BC8-AA83-2F860CA1631E}"/>
  </bookViews>
  <sheets>
    <sheet name="Income Statement" sheetId="10" r:id="rId1"/>
    <sheet name="Investments" sheetId="2" r:id="rId2"/>
    <sheet name="Cash Flows and Tentative Val." sheetId="7" r:id="rId3"/>
    <sheet name="Balance Sheet" sheetId="9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7" l="1"/>
  <c r="G6" i="7"/>
  <c r="F6" i="7"/>
  <c r="E6" i="7"/>
  <c r="D6" i="7"/>
  <c r="C6" i="7"/>
  <c r="C9" i="9"/>
  <c r="D15" i="10"/>
  <c r="C15" i="10"/>
  <c r="B15" i="10"/>
  <c r="B7" i="2"/>
  <c r="C11" i="9"/>
  <c r="D11" i="9" s="1"/>
  <c r="E11" i="9" s="1"/>
  <c r="C21" i="9"/>
  <c r="D21" i="9" s="1"/>
  <c r="E21" i="9" s="1"/>
  <c r="F21" i="9" s="1"/>
  <c r="G21" i="9" s="1"/>
  <c r="C22" i="9"/>
  <c r="D22" i="9" s="1"/>
  <c r="E22" i="9" s="1"/>
  <c r="F22" i="9" s="1"/>
  <c r="G22" i="9" s="1"/>
  <c r="H22" i="9" s="1"/>
  <c r="C20" i="9"/>
  <c r="D20" i="9" s="1"/>
  <c r="E20" i="9" s="1"/>
  <c r="F20" i="9" s="1"/>
  <c r="G20" i="9" s="1"/>
  <c r="H20" i="9" s="1"/>
  <c r="H21" i="9" l="1"/>
  <c r="F11" i="9"/>
  <c r="G11" i="9" s="1"/>
  <c r="H11" i="9" s="1"/>
  <c r="B9" i="9"/>
  <c r="C12" i="9"/>
  <c r="C23" i="9"/>
  <c r="B23" i="9"/>
  <c r="B18" i="9"/>
  <c r="D8" i="9"/>
  <c r="E8" i="9" s="1"/>
  <c r="F8" i="9" s="1"/>
  <c r="G8" i="9" s="1"/>
  <c r="H8" i="9" s="1"/>
  <c r="H15" i="10"/>
  <c r="G15" i="10"/>
  <c r="F15" i="10"/>
  <c r="E15" i="10"/>
  <c r="B13" i="9" l="1"/>
  <c r="D9" i="9"/>
  <c r="H9" i="9"/>
  <c r="B24" i="9"/>
  <c r="C16" i="9"/>
  <c r="F9" i="9"/>
  <c r="G9" i="9"/>
  <c r="C13" i="9"/>
  <c r="E9" i="9"/>
  <c r="D12" i="9"/>
  <c r="D23" i="9"/>
  <c r="E23" i="9"/>
  <c r="F23" i="9"/>
  <c r="H13" i="7"/>
  <c r="G13" i="7"/>
  <c r="F13" i="7"/>
  <c r="E13" i="7"/>
  <c r="D13" i="7"/>
  <c r="C13" i="7"/>
  <c r="B13" i="7"/>
  <c r="B18" i="7" s="1"/>
  <c r="D13" i="9" l="1"/>
  <c r="B5" i="9"/>
  <c r="B6" i="9" s="1"/>
  <c r="F18" i="7"/>
  <c r="D18" i="7"/>
  <c r="H18" i="7"/>
  <c r="E18" i="7"/>
  <c r="C18" i="7"/>
  <c r="G18" i="7"/>
  <c r="E12" i="9"/>
  <c r="E13" i="9" s="1"/>
  <c r="C18" i="9"/>
  <c r="C24" i="9" l="1"/>
  <c r="C5" i="9" s="1"/>
  <c r="C6" i="9" s="1"/>
  <c r="D16" i="9"/>
  <c r="D18" i="9" s="1"/>
  <c r="F12" i="9"/>
  <c r="F13" i="9" s="1"/>
  <c r="G23" i="9"/>
  <c r="H23" i="9"/>
  <c r="G12" i="9" l="1"/>
  <c r="G13" i="9" s="1"/>
  <c r="D24" i="9"/>
  <c r="D5" i="9" s="1"/>
  <c r="D6" i="9" s="1"/>
  <c r="E16" i="9"/>
  <c r="E18" i="9" s="1"/>
  <c r="B9" i="7" l="1"/>
  <c r="B5" i="10"/>
  <c r="C4" i="10"/>
  <c r="H12" i="9"/>
  <c r="H13" i="9" s="1"/>
  <c r="E24" i="9"/>
  <c r="E5" i="9" s="1"/>
  <c r="E6" i="9" s="1"/>
  <c r="F16" i="9"/>
  <c r="F18" i="9" s="1"/>
  <c r="A24" i="2"/>
  <c r="B8" i="10" l="1"/>
  <c r="C8" i="10" s="1"/>
  <c r="D8" i="10" s="1"/>
  <c r="E8" i="10" s="1"/>
  <c r="F8" i="10" s="1"/>
  <c r="G8" i="10" s="1"/>
  <c r="H8" i="10" s="1"/>
  <c r="B9" i="10"/>
  <c r="B10" i="7" s="1"/>
  <c r="D4" i="10"/>
  <c r="C5" i="10"/>
  <c r="C9" i="7"/>
  <c r="F24" i="9"/>
  <c r="F5" i="9" s="1"/>
  <c r="F6" i="9" s="1"/>
  <c r="G16" i="9"/>
  <c r="G18" i="9" s="1"/>
  <c r="C9" i="10" l="1"/>
  <c r="C10" i="7" s="1"/>
  <c r="D9" i="7"/>
  <c r="E4" i="10"/>
  <c r="D5" i="10"/>
  <c r="C7" i="10"/>
  <c r="B8" i="7"/>
  <c r="B11" i="7" s="1"/>
  <c r="B12" i="7" s="1"/>
  <c r="B15" i="7" s="1"/>
  <c r="B16" i="7" s="1"/>
  <c r="B17" i="7" s="1"/>
  <c r="B20" i="7" s="1"/>
  <c r="C28" i="7" s="1"/>
  <c r="B10" i="10"/>
  <c r="B11" i="10" s="1"/>
  <c r="B12" i="10" s="1"/>
  <c r="B14" i="10" s="1"/>
  <c r="B16" i="10" s="1"/>
  <c r="G24" i="9"/>
  <c r="G5" i="9" s="1"/>
  <c r="G6" i="9" s="1"/>
  <c r="H16" i="9"/>
  <c r="H18" i="9" s="1"/>
  <c r="D9" i="10" l="1"/>
  <c r="D10" i="7" s="1"/>
  <c r="B17" i="10"/>
  <c r="B18" i="10" s="1"/>
  <c r="F4" i="10"/>
  <c r="E5" i="10"/>
  <c r="E9" i="7"/>
  <c r="C8" i="7"/>
  <c r="C11" i="7" s="1"/>
  <c r="C12" i="7" s="1"/>
  <c r="C15" i="7" s="1"/>
  <c r="C16" i="7" s="1"/>
  <c r="C17" i="7" s="1"/>
  <c r="C20" i="7" s="1"/>
  <c r="C29" i="7" s="1"/>
  <c r="D7" i="10"/>
  <c r="C10" i="10"/>
  <c r="C11" i="10" s="1"/>
  <c r="C12" i="10" s="1"/>
  <c r="C14" i="10" s="1"/>
  <c r="C16" i="10" s="1"/>
  <c r="H24" i="9"/>
  <c r="H5" i="9" s="1"/>
  <c r="H6" i="9" s="1"/>
  <c r="E9" i="10" l="1"/>
  <c r="E10" i="7" s="1"/>
  <c r="C17" i="10"/>
  <c r="C18" i="10" s="1"/>
  <c r="F9" i="7"/>
  <c r="F5" i="10"/>
  <c r="G4" i="10"/>
  <c r="E7" i="10"/>
  <c r="D8" i="7"/>
  <c r="D11" i="7" s="1"/>
  <c r="D12" i="7" s="1"/>
  <c r="D15" i="7" s="1"/>
  <c r="D16" i="7" s="1"/>
  <c r="D17" i="7" s="1"/>
  <c r="D20" i="7" s="1"/>
  <c r="C30" i="7" s="1"/>
  <c r="D10" i="10"/>
  <c r="D11" i="10" s="1"/>
  <c r="D12" i="10" s="1"/>
  <c r="D14" i="10" s="1"/>
  <c r="D16" i="10" s="1"/>
  <c r="F9" i="10" l="1"/>
  <c r="F10" i="7" s="1"/>
  <c r="D17" i="10"/>
  <c r="D18" i="10" s="1"/>
  <c r="H4" i="10"/>
  <c r="G5" i="10"/>
  <c r="G9" i="7"/>
  <c r="F7" i="10"/>
  <c r="E8" i="7"/>
  <c r="E11" i="7" s="1"/>
  <c r="E12" i="7" s="1"/>
  <c r="E15" i="7" s="1"/>
  <c r="E16" i="7" s="1"/>
  <c r="E17" i="7" s="1"/>
  <c r="E20" i="7" s="1"/>
  <c r="C31" i="7" s="1"/>
  <c r="E10" i="10"/>
  <c r="E11" i="10" s="1"/>
  <c r="E12" i="10" s="1"/>
  <c r="E14" i="10" s="1"/>
  <c r="E16" i="10" s="1"/>
  <c r="G9" i="10" l="1"/>
  <c r="G10" i="7" s="1"/>
  <c r="E17" i="10"/>
  <c r="E18" i="10" s="1"/>
  <c r="H9" i="7"/>
  <c r="H5" i="10"/>
  <c r="G7" i="10"/>
  <c r="F10" i="10"/>
  <c r="F11" i="10" s="1"/>
  <c r="F12" i="10" s="1"/>
  <c r="F14" i="10" s="1"/>
  <c r="F16" i="10" s="1"/>
  <c r="F8" i="7"/>
  <c r="F11" i="7" s="1"/>
  <c r="F12" i="7" s="1"/>
  <c r="F15" i="7" s="1"/>
  <c r="F16" i="7" s="1"/>
  <c r="F17" i="7" s="1"/>
  <c r="F20" i="7" s="1"/>
  <c r="C32" i="7" s="1"/>
  <c r="H9" i="10" l="1"/>
  <c r="H10" i="7" s="1"/>
  <c r="F17" i="10"/>
  <c r="F18" i="10" s="1"/>
  <c r="G8" i="7"/>
  <c r="G11" i="7" s="1"/>
  <c r="G12" i="7" s="1"/>
  <c r="G15" i="7" s="1"/>
  <c r="G16" i="7" s="1"/>
  <c r="G17" i="7" s="1"/>
  <c r="G20" i="7" s="1"/>
  <c r="C33" i="7" s="1"/>
  <c r="H7" i="10"/>
  <c r="G10" i="10"/>
  <c r="G11" i="10" s="1"/>
  <c r="G12" i="10" s="1"/>
  <c r="G14" i="10" s="1"/>
  <c r="G16" i="10" s="1"/>
  <c r="G17" i="10" l="1"/>
  <c r="G18" i="10" s="1"/>
  <c r="H10" i="10"/>
  <c r="H11" i="10" s="1"/>
  <c r="H12" i="10" s="1"/>
  <c r="H14" i="10" s="1"/>
  <c r="H16" i="10" s="1"/>
  <c r="H8" i="7"/>
  <c r="H11" i="7" s="1"/>
  <c r="H12" i="7" s="1"/>
  <c r="H15" i="7" s="1"/>
  <c r="H16" i="7" s="1"/>
  <c r="H17" i="7" s="1"/>
  <c r="H20" i="7" s="1"/>
  <c r="I20" i="7" l="1"/>
  <c r="C35" i="7" s="1"/>
  <c r="C34" i="7"/>
  <c r="H17" i="10"/>
  <c r="H18" i="10" s="1"/>
  <c r="C36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tc={AD8E726A-1C1A-49C5-B732-8A57ED31ADD4}</author>
    <author>tc={2D7545AB-D068-476F-9B64-E331A2EB434B}</author>
  </authors>
  <commentList>
    <comment ref="B17" authorId="0" shapeId="0" xr:uid="{AD8E726A-1C1A-49C5-B732-8A57ED31ADD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Dr. A. R. Dave and Ms. P. Thakar (2017). A Comparative Study on Working Capital Management Practices of Selected Companies in FMCG Industry. International Journal for Innovative Research in Multidisciplinary Field, 3(2), 88-96.</t>
        </r>
      </text>
    </comment>
    <comment ref="B18" authorId="1" shapeId="0" xr:uid="{2D7545AB-D068-476F-9B64-E331A2EB434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Dr. A. R. Dave and Ms. P. Thakar (2017). A Comparative Study on Working Capital Management Practices of Selected Companies in FMCG Industry. International Journal for Innovative Research in Multidisciplinary Field, 3(2), 88-96.</t>
        </r>
      </text>
    </comment>
  </commentList>
</comments>
</file>

<file path=xl/sharedStrings.xml><?xml version="1.0" encoding="utf-8"?>
<sst xmlns="http://schemas.openxmlformats.org/spreadsheetml/2006/main" count="102" uniqueCount="82">
  <si>
    <t>Property</t>
  </si>
  <si>
    <t>Plant</t>
  </si>
  <si>
    <t>Equipment</t>
  </si>
  <si>
    <t>Raw material</t>
  </si>
  <si>
    <t>CAGR</t>
  </si>
  <si>
    <t>Year</t>
  </si>
  <si>
    <t>Net Working Capital</t>
  </si>
  <si>
    <t>Total Initial Investment (in Lacs)</t>
  </si>
  <si>
    <t>MACRS</t>
  </si>
  <si>
    <t>Total Revenue (in Cr. INR for 2023)</t>
  </si>
  <si>
    <t>Recovery Year</t>
  </si>
  <si>
    <t xml:space="preserve"> (in Lacs. INR)</t>
  </si>
  <si>
    <t>Total Revenue</t>
  </si>
  <si>
    <t>Expenses</t>
  </si>
  <si>
    <t>COGS</t>
  </si>
  <si>
    <t>SG&amp;A</t>
  </si>
  <si>
    <t>Total Expenses</t>
  </si>
  <si>
    <t>EBITDA</t>
  </si>
  <si>
    <t>`- Depriciation</t>
  </si>
  <si>
    <t>PAT</t>
  </si>
  <si>
    <t>`+ Depriciation</t>
  </si>
  <si>
    <t>Cash Flow</t>
  </si>
  <si>
    <t>WACC</t>
  </si>
  <si>
    <t>Tax (30%)</t>
  </si>
  <si>
    <t>PBT</t>
  </si>
  <si>
    <t>interest</t>
  </si>
  <si>
    <t>12 mths</t>
  </si>
  <si>
    <t>EQUITIES AND LIABILITIES</t>
  </si>
  <si>
    <t>SHAREHOLDER'S FUNDS</t>
  </si>
  <si>
    <t>Total Share Capital</t>
  </si>
  <si>
    <t>Total Shareholders Funds</t>
  </si>
  <si>
    <t>NON-CURRENT LIABILITIES</t>
  </si>
  <si>
    <t>Long Term Borrowings</t>
  </si>
  <si>
    <t>Total Non-Current Liabilities</t>
  </si>
  <si>
    <t>CURRENT LIABILITIES</t>
  </si>
  <si>
    <t>Trade Payables</t>
  </si>
  <si>
    <t>Total Current Liabilities</t>
  </si>
  <si>
    <t>Total Capital And Liabilities</t>
  </si>
  <si>
    <t>ASSETS</t>
  </si>
  <si>
    <t>NON-CURRENT ASSETS</t>
  </si>
  <si>
    <t>Capital Work-In-Progress</t>
  </si>
  <si>
    <t>Fixed Assets</t>
  </si>
  <si>
    <t>Total Non-Current Assets</t>
  </si>
  <si>
    <t>CURRENT ASSETS</t>
  </si>
  <si>
    <t>Inventories</t>
  </si>
  <si>
    <t>Trade Receivables</t>
  </si>
  <si>
    <t>Cash And Cash Equivalents</t>
  </si>
  <si>
    <t>Total Current Assets</t>
  </si>
  <si>
    <t>Total Assets</t>
  </si>
  <si>
    <t>Income</t>
  </si>
  <si>
    <t>Sales Turnover</t>
  </si>
  <si>
    <t>Expenditure</t>
  </si>
  <si>
    <t>Employee Cost</t>
  </si>
  <si>
    <t>Selling and Admin Expenses</t>
  </si>
  <si>
    <t>Operating Profit</t>
  </si>
  <si>
    <t>PBDIT</t>
  </si>
  <si>
    <t>Interest</t>
  </si>
  <si>
    <t>PBDT</t>
  </si>
  <si>
    <t>Depreciation</t>
  </si>
  <si>
    <t>Profit Before Tax</t>
  </si>
  <si>
    <t>Tax</t>
  </si>
  <si>
    <t>Reported Net Profit</t>
  </si>
  <si>
    <t>`- Debt Payback</t>
  </si>
  <si>
    <t>Inflation</t>
  </si>
  <si>
    <t>Employee Cost/Sales</t>
  </si>
  <si>
    <t>SG&amp;A/Sales</t>
  </si>
  <si>
    <t>Balance Sheet (In Crore)</t>
  </si>
  <si>
    <t>P&amp;L (in Crores)</t>
  </si>
  <si>
    <t>Fixed Asset (in Crores)</t>
  </si>
  <si>
    <t>Annual Cost</t>
  </si>
  <si>
    <t>Prototype cost</t>
  </si>
  <si>
    <t>Cost per prototype</t>
  </si>
  <si>
    <t>Expenses (in Crores)</t>
  </si>
  <si>
    <t>Working Capital Requirement (in crores)</t>
  </si>
  <si>
    <t>R &amp;D cost</t>
  </si>
  <si>
    <t>Testing cost</t>
  </si>
  <si>
    <t>Advertising cost</t>
  </si>
  <si>
    <t>7-Year</t>
  </si>
  <si>
    <t>Valuation</t>
  </si>
  <si>
    <t>Discounted cash flow</t>
  </si>
  <si>
    <t>Terminal Growth Rate</t>
  </si>
  <si>
    <t>Terminal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</si>
</sst>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4" formatCode="&quot;₹&quot;\ #,##0.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09">
    <xf numFmtId="0" fontId="0" fillId="0" borderId="0" xfId="0"/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vertical="center" wrapText="1"/>
    </xf>
    <xf numFmtId="10" fontId="0" fillId="4" borderId="0" xfId="1" applyNumberFormat="1" applyFont="1" applyFill="1" applyBorder="1" applyAlignment="1">
      <alignment vertical="center" wrapText="1"/>
    </xf>
    <xf numFmtId="4" fontId="0" fillId="4" borderId="0" xfId="0" applyNumberFormat="1" applyFill="1"/>
    <xf numFmtId="0" fontId="1" fillId="4" borderId="0" xfId="0" applyFont="1" applyFill="1" applyAlignment="1">
      <alignment horizontal="center"/>
    </xf>
    <xf numFmtId="0" fontId="9" fillId="4" borderId="0" xfId="2" applyFont="1" applyFill="1" applyAlignment="1">
      <alignment horizontal="left" wrapText="1"/>
    </xf>
    <xf numFmtId="0" fontId="6" fillId="4" borderId="0" xfId="2" applyFill="1" applyAlignment="1">
      <alignment horizontal="left" wrapText="1"/>
    </xf>
    <xf numFmtId="0" fontId="1" fillId="4" borderId="0" xfId="0" applyFont="1" applyFill="1"/>
    <xf numFmtId="0" fontId="7" fillId="5" borderId="5" xfId="0" applyFont="1" applyFill="1" applyBorder="1" applyAlignment="1">
      <alignment horizontal="left" vertical="center" wrapText="1"/>
    </xf>
    <xf numFmtId="0" fontId="7" fillId="5" borderId="6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10" fontId="0" fillId="2" borderId="6" xfId="1" applyNumberFormat="1" applyFont="1" applyFill="1" applyBorder="1" applyAlignment="1">
      <alignment horizontal="left" vertical="center" wrapText="1"/>
    </xf>
    <xf numFmtId="8" fontId="0" fillId="3" borderId="0" xfId="0" applyNumberFormat="1" applyFill="1"/>
    <xf numFmtId="0" fontId="7" fillId="7" borderId="0" xfId="0" applyFont="1" applyFill="1" applyAlignment="1">
      <alignment horizontal="right"/>
    </xf>
    <xf numFmtId="164" fontId="1" fillId="6" borderId="0" xfId="0" applyNumberFormat="1" applyFont="1" applyFill="1" applyAlignment="1">
      <alignment horizontal="right"/>
    </xf>
    <xf numFmtId="164" fontId="0" fillId="6" borderId="0" xfId="0" applyNumberFormat="1" applyFill="1" applyAlignment="1">
      <alignment horizontal="right"/>
    </xf>
    <xf numFmtId="0" fontId="1" fillId="6" borderId="10" xfId="0" applyFont="1" applyFill="1" applyBorder="1"/>
    <xf numFmtId="164" fontId="1" fillId="6" borderId="13" xfId="0" applyNumberFormat="1" applyFont="1" applyFill="1" applyBorder="1" applyAlignment="1">
      <alignment horizontal="right"/>
    </xf>
    <xf numFmtId="164" fontId="1" fillId="6" borderId="11" xfId="0" applyNumberFormat="1" applyFont="1" applyFill="1" applyBorder="1" applyAlignment="1">
      <alignment horizontal="right"/>
    </xf>
    <xf numFmtId="0" fontId="7" fillId="7" borderId="5" xfId="0" applyFont="1" applyFill="1" applyBorder="1"/>
    <xf numFmtId="0" fontId="7" fillId="7" borderId="6" xfId="0" applyFont="1" applyFill="1" applyBorder="1" applyAlignment="1">
      <alignment horizontal="right"/>
    </xf>
    <xf numFmtId="0" fontId="1" fillId="6" borderId="5" xfId="0" applyFont="1" applyFill="1" applyBorder="1" applyAlignment="1">
      <alignment wrapText="1"/>
    </xf>
    <xf numFmtId="164" fontId="1" fillId="6" borderId="6" xfId="0" applyNumberFormat="1" applyFont="1" applyFill="1" applyBorder="1" applyAlignment="1">
      <alignment horizontal="right"/>
    </xf>
    <xf numFmtId="0" fontId="1" fillId="6" borderId="5" xfId="0" applyFont="1" applyFill="1" applyBorder="1"/>
    <xf numFmtId="164" fontId="0" fillId="6" borderId="6" xfId="0" applyNumberFormat="1" applyFill="1" applyBorder="1" applyAlignment="1">
      <alignment horizontal="right"/>
    </xf>
    <xf numFmtId="0" fontId="0" fillId="6" borderId="5" xfId="0" applyFill="1" applyBorder="1"/>
    <xf numFmtId="0" fontId="0" fillId="6" borderId="7" xfId="0" applyFill="1" applyBorder="1"/>
    <xf numFmtId="164" fontId="0" fillId="6" borderId="8" xfId="0" applyNumberFormat="1" applyFill="1" applyBorder="1" applyAlignment="1">
      <alignment horizontal="right"/>
    </xf>
    <xf numFmtId="164" fontId="0" fillId="6" borderId="9" xfId="0" applyNumberFormat="1" applyFill="1" applyBorder="1" applyAlignment="1">
      <alignment horizontal="right"/>
    </xf>
    <xf numFmtId="0" fontId="3" fillId="8" borderId="0" xfId="0" applyFont="1" applyFill="1" applyAlignment="1">
      <alignment horizontal="right"/>
    </xf>
    <xf numFmtId="10" fontId="3" fillId="8" borderId="0" xfId="0" applyNumberFormat="1" applyFont="1" applyFill="1" applyAlignment="1">
      <alignment horizontal="right"/>
    </xf>
    <xf numFmtId="0" fontId="1" fillId="10" borderId="5" xfId="0" applyFont="1" applyFill="1" applyBorder="1" applyAlignment="1">
      <alignment vertical="center" wrapText="1"/>
    </xf>
    <xf numFmtId="0" fontId="0" fillId="10" borderId="0" xfId="0" applyFill="1" applyAlignment="1">
      <alignment horizontal="right" vertical="center" wrapText="1"/>
    </xf>
    <xf numFmtId="0" fontId="0" fillId="10" borderId="0" xfId="0" applyFill="1" applyAlignment="1">
      <alignment horizontal="right"/>
    </xf>
    <xf numFmtId="0" fontId="0" fillId="10" borderId="5" xfId="0" applyFill="1" applyBorder="1" applyAlignment="1">
      <alignment vertical="center" wrapText="1"/>
    </xf>
    <xf numFmtId="164" fontId="0" fillId="10" borderId="0" xfId="0" applyNumberFormat="1" applyFill="1" applyAlignment="1">
      <alignment horizontal="right" vertical="center" wrapText="1"/>
    </xf>
    <xf numFmtId="0" fontId="1" fillId="10" borderId="10" xfId="0" applyFont="1" applyFill="1" applyBorder="1" applyAlignment="1">
      <alignment vertical="center" wrapText="1"/>
    </xf>
    <xf numFmtId="164" fontId="1" fillId="10" borderId="13" xfId="0" applyNumberFormat="1" applyFont="1" applyFill="1" applyBorder="1" applyAlignment="1">
      <alignment horizontal="right" vertical="center" wrapText="1"/>
    </xf>
    <xf numFmtId="164" fontId="0" fillId="10" borderId="0" xfId="0" applyNumberFormat="1" applyFill="1" applyAlignment="1">
      <alignment horizontal="right"/>
    </xf>
    <xf numFmtId="0" fontId="2" fillId="10" borderId="10" xfId="0" applyFont="1" applyFill="1" applyBorder="1" applyAlignment="1">
      <alignment vertical="center" wrapText="1"/>
    </xf>
    <xf numFmtId="164" fontId="2" fillId="10" borderId="13" xfId="0" applyNumberFormat="1" applyFont="1" applyFill="1" applyBorder="1" applyAlignment="1">
      <alignment horizontal="right" vertical="center" wrapText="1"/>
    </xf>
    <xf numFmtId="0" fontId="7" fillId="11" borderId="2" xfId="0" applyFont="1" applyFill="1" applyBorder="1" applyAlignment="1">
      <alignment horizontal="right" vertical="center" wrapText="1"/>
    </xf>
    <xf numFmtId="0" fontId="7" fillId="11" borderId="3" xfId="0" applyFont="1" applyFill="1" applyBorder="1" applyAlignment="1">
      <alignment horizontal="right"/>
    </xf>
    <xf numFmtId="0" fontId="8" fillId="11" borderId="7" xfId="0" applyFont="1" applyFill="1" applyBorder="1" applyAlignment="1">
      <alignment horizontal="right" vertical="center" wrapText="1"/>
    </xf>
    <xf numFmtId="0" fontId="7" fillId="11" borderId="8" xfId="0" applyFont="1" applyFill="1" applyBorder="1" applyAlignment="1">
      <alignment horizontal="right" vertical="center" wrapText="1"/>
    </xf>
    <xf numFmtId="0" fontId="1" fillId="12" borderId="5" xfId="0" applyFont="1" applyFill="1" applyBorder="1" applyAlignment="1">
      <alignment vertical="center" wrapText="1"/>
    </xf>
    <xf numFmtId="0" fontId="0" fillId="12" borderId="0" xfId="0" applyFill="1" applyAlignment="1">
      <alignment horizontal="right" vertical="center" wrapText="1"/>
    </xf>
    <xf numFmtId="0" fontId="0" fillId="12" borderId="0" xfId="0" applyFill="1" applyAlignment="1">
      <alignment vertical="center" wrapText="1"/>
    </xf>
    <xf numFmtId="0" fontId="0" fillId="12" borderId="5" xfId="0" applyFill="1" applyBorder="1" applyAlignment="1">
      <alignment vertical="center" wrapText="1"/>
    </xf>
    <xf numFmtId="164" fontId="0" fillId="12" borderId="0" xfId="0" applyNumberFormat="1" applyFill="1" applyAlignment="1">
      <alignment horizontal="right" vertical="center" wrapText="1"/>
    </xf>
    <xf numFmtId="164" fontId="1" fillId="12" borderId="0" xfId="0" applyNumberFormat="1" applyFont="1" applyFill="1" applyAlignment="1">
      <alignment horizontal="right" vertical="center" wrapText="1"/>
    </xf>
    <xf numFmtId="0" fontId="1" fillId="12" borderId="10" xfId="0" applyFont="1" applyFill="1" applyBorder="1" applyAlignment="1">
      <alignment vertical="center" wrapText="1"/>
    </xf>
    <xf numFmtId="164" fontId="1" fillId="12" borderId="13" xfId="0" applyNumberFormat="1" applyFont="1" applyFill="1" applyBorder="1" applyAlignment="1">
      <alignment horizontal="right" vertical="center" wrapText="1"/>
    </xf>
    <xf numFmtId="164" fontId="0" fillId="12" borderId="0" xfId="0" applyNumberFormat="1" applyFill="1" applyAlignment="1">
      <alignment vertical="center" wrapText="1"/>
    </xf>
    <xf numFmtId="0" fontId="7" fillId="13" borderId="2" xfId="0" applyFont="1" applyFill="1" applyBorder="1" applyAlignment="1">
      <alignment vertical="center" wrapText="1"/>
    </xf>
    <xf numFmtId="0" fontId="7" fillId="13" borderId="3" xfId="0" applyFont="1" applyFill="1" applyBorder="1" applyAlignment="1">
      <alignment horizontal="right"/>
    </xf>
    <xf numFmtId="0" fontId="8" fillId="13" borderId="5" xfId="0" applyFont="1" applyFill="1" applyBorder="1" applyAlignment="1">
      <alignment vertical="center" wrapText="1"/>
    </xf>
    <xf numFmtId="0" fontId="7" fillId="13" borderId="0" xfId="0" applyFont="1" applyFill="1" applyAlignment="1">
      <alignment horizontal="right" vertical="center" wrapText="1"/>
    </xf>
    <xf numFmtId="0" fontId="2" fillId="4" borderId="0" xfId="0" applyFont="1" applyFill="1"/>
    <xf numFmtId="0" fontId="2" fillId="6" borderId="10" xfId="0" applyFont="1" applyFill="1" applyBorder="1"/>
    <xf numFmtId="164" fontId="2" fillId="6" borderId="13" xfId="0" applyNumberFormat="1" applyFont="1" applyFill="1" applyBorder="1" applyAlignment="1">
      <alignment horizontal="right"/>
    </xf>
    <xf numFmtId="164" fontId="2" fillId="6" borderId="11" xfId="0" applyNumberFormat="1" applyFont="1" applyFill="1" applyBorder="1" applyAlignment="1">
      <alignment horizontal="right"/>
    </xf>
    <xf numFmtId="0" fontId="3" fillId="9" borderId="5" xfId="0" applyFont="1" applyFill="1" applyBorder="1" applyAlignment="1">
      <alignment horizontal="right" vertical="center" wrapText="1"/>
    </xf>
    <xf numFmtId="10" fontId="3" fillId="9" borderId="6" xfId="0" applyNumberFormat="1" applyFont="1" applyFill="1" applyBorder="1" applyAlignment="1">
      <alignment horizontal="right"/>
    </xf>
    <xf numFmtId="0" fontId="3" fillId="9" borderId="5" xfId="0" applyFont="1" applyFill="1" applyBorder="1" applyAlignment="1">
      <alignment horizontal="right"/>
    </xf>
    <xf numFmtId="9" fontId="3" fillId="9" borderId="6" xfId="0" applyNumberFormat="1" applyFont="1" applyFill="1" applyBorder="1" applyAlignment="1">
      <alignment horizontal="right"/>
    </xf>
    <xf numFmtId="0" fontId="3" fillId="9" borderId="7" xfId="0" applyFont="1" applyFill="1" applyBorder="1" applyAlignment="1">
      <alignment horizontal="right"/>
    </xf>
    <xf numFmtId="9" fontId="3" fillId="9" borderId="9" xfId="0" applyNumberFormat="1" applyFont="1" applyFill="1" applyBorder="1" applyAlignment="1">
      <alignment horizontal="right"/>
    </xf>
    <xf numFmtId="10" fontId="0" fillId="3" borderId="0" xfId="0" applyNumberFormat="1" applyFill="1"/>
    <xf numFmtId="9" fontId="0" fillId="3" borderId="0" xfId="0" applyNumberFormat="1" applyFill="1"/>
    <xf numFmtId="164" fontId="0" fillId="3" borderId="0" xfId="0" applyNumberFormat="1" applyFill="1"/>
    <xf numFmtId="0" fontId="7" fillId="4" borderId="0" xfId="0" applyFont="1" applyFill="1" applyAlignment="1">
      <alignment horizontal="right"/>
    </xf>
    <xf numFmtId="0" fontId="7" fillId="4" borderId="0" xfId="0" applyFont="1" applyFill="1" applyAlignment="1">
      <alignment horizontal="right" vertical="center" wrapText="1"/>
    </xf>
    <xf numFmtId="0" fontId="0" fillId="4" borderId="0" xfId="0" applyFill="1" applyAlignment="1">
      <alignment horizontal="right"/>
    </xf>
    <xf numFmtId="164" fontId="0" fillId="4" borderId="0" xfId="0" applyNumberFormat="1" applyFill="1" applyAlignment="1">
      <alignment horizontal="right" vertical="center" wrapText="1"/>
    </xf>
    <xf numFmtId="164" fontId="1" fillId="4" borderId="0" xfId="0" applyNumberFormat="1" applyFont="1" applyFill="1" applyAlignment="1">
      <alignment horizontal="right" vertical="center" wrapText="1"/>
    </xf>
    <xf numFmtId="164" fontId="0" fillId="4" borderId="0" xfId="0" applyNumberFormat="1" applyFill="1" applyAlignment="1">
      <alignment horizontal="right"/>
    </xf>
    <xf numFmtId="164" fontId="2" fillId="4" borderId="0" xfId="0" applyNumberFormat="1" applyFont="1" applyFill="1" applyAlignment="1">
      <alignment horizontal="right" vertical="center" wrapText="1"/>
    </xf>
    <xf numFmtId="0" fontId="0" fillId="4" borderId="0" xfId="0" applyFill="1" applyAlignment="1">
      <alignment horizontal="left" vertical="center" wrapText="1"/>
    </xf>
    <xf numFmtId="10" fontId="0" fillId="4" borderId="0" xfId="1" applyNumberFormat="1" applyFont="1" applyFill="1" applyBorder="1" applyAlignment="1">
      <alignment horizontal="left" vertical="center" wrapText="1"/>
    </xf>
    <xf numFmtId="0" fontId="0" fillId="14" borderId="5" xfId="0" applyFill="1" applyBorder="1" applyAlignment="1">
      <alignment horizontal="right"/>
    </xf>
    <xf numFmtId="0" fontId="0" fillId="14" borderId="6" xfId="0" applyFill="1" applyBorder="1" applyAlignment="1">
      <alignment horizontal="right"/>
    </xf>
    <xf numFmtId="0" fontId="0" fillId="14" borderId="7" xfId="0" applyFill="1" applyBorder="1" applyAlignment="1">
      <alignment horizontal="right"/>
    </xf>
    <xf numFmtId="0" fontId="0" fillId="14" borderId="9" xfId="0" applyFill="1" applyBorder="1" applyAlignment="1">
      <alignment horizontal="right"/>
    </xf>
    <xf numFmtId="0" fontId="0" fillId="14" borderId="0" xfId="0" applyFill="1"/>
    <xf numFmtId="1" fontId="0" fillId="14" borderId="9" xfId="0" applyNumberFormat="1" applyFill="1" applyBorder="1" applyAlignment="1">
      <alignment horizontal="right"/>
    </xf>
    <xf numFmtId="0" fontId="0" fillId="14" borderId="10" xfId="0" applyFill="1" applyBorder="1" applyAlignment="1">
      <alignment horizontal="right"/>
    </xf>
    <xf numFmtId="1" fontId="0" fillId="14" borderId="11" xfId="0" applyNumberFormat="1" applyFill="1" applyBorder="1"/>
    <xf numFmtId="2" fontId="0" fillId="14" borderId="6" xfId="0" applyNumberFormat="1" applyFill="1" applyBorder="1" applyAlignment="1">
      <alignment horizontal="right"/>
    </xf>
    <xf numFmtId="1" fontId="10" fillId="14" borderId="12" xfId="0" applyNumberFormat="1" applyFont="1" applyFill="1" applyBorder="1" applyAlignment="1">
      <alignment horizontal="center"/>
    </xf>
    <xf numFmtId="0" fontId="11" fillId="14" borderId="1" xfId="0" applyFont="1" applyFill="1" applyBorder="1"/>
    <xf numFmtId="0" fontId="7" fillId="3" borderId="0" xfId="0" applyFont="1" applyFill="1" applyAlignment="1">
      <alignment horizontal="right" vertical="center" wrapText="1"/>
    </xf>
    <xf numFmtId="164" fontId="0" fillId="3" borderId="0" xfId="0" applyNumberFormat="1" applyFill="1" applyAlignment="1">
      <alignment horizontal="right" vertical="center" wrapText="1"/>
    </xf>
    <xf numFmtId="164" fontId="1" fillId="3" borderId="0" xfId="0" applyNumberFormat="1" applyFont="1" applyFill="1" applyAlignment="1">
      <alignment horizontal="right" vertical="center" wrapText="1"/>
    </xf>
    <xf numFmtId="164" fontId="0" fillId="3" borderId="0" xfId="0" applyNumberFormat="1" applyFill="1" applyAlignment="1">
      <alignment vertical="center" wrapText="1"/>
    </xf>
    <xf numFmtId="0" fontId="7" fillId="3" borderId="3" xfId="0" applyFont="1" applyFill="1" applyBorder="1" applyAlignment="1">
      <alignment horizontal="right"/>
    </xf>
    <xf numFmtId="0" fontId="7" fillId="3" borderId="4" xfId="0" applyFont="1" applyFill="1" applyBorder="1" applyAlignment="1">
      <alignment horizontal="right"/>
    </xf>
    <xf numFmtId="0" fontId="7" fillId="5" borderId="2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7" fillId="15" borderId="10" xfId="0" applyFont="1" applyFill="1" applyBorder="1" applyAlignment="1">
      <alignment horizontal="left"/>
    </xf>
    <xf numFmtId="0" fontId="7" fillId="15" borderId="11" xfId="0" applyFont="1" applyFill="1" applyBorder="1" applyAlignment="1">
      <alignment horizontal="left"/>
    </xf>
    <xf numFmtId="0" fontId="7" fillId="15" borderId="2" xfId="0" applyFont="1" applyFill="1" applyBorder="1" applyAlignment="1">
      <alignment horizontal="left"/>
    </xf>
    <xf numFmtId="0" fontId="7" fillId="15" borderId="4" xfId="0" applyFont="1" applyFill="1" applyBorder="1" applyAlignment="1">
      <alignment horizontal="left"/>
    </xf>
    <xf numFmtId="0" fontId="7" fillId="7" borderId="2" xfId="0" applyFont="1" applyFill="1" applyBorder="1" applyAlignment="1">
      <alignment horizontal="left"/>
    </xf>
    <xf numFmtId="0" fontId="7" fillId="7" borderId="3" xfId="0" applyFont="1" applyFill="1" applyBorder="1" applyAlignment="1">
      <alignment horizontal="left"/>
    </xf>
    <xf numFmtId="0" fontId="7" fillId="7" borderId="4" xfId="0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87CB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8B47D7-A67F-4D07-BCCE-27E57C6D6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0683E2-451F-4882-9718-CB0C8FA26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76200</xdr:colOff>
      <xdr:row>10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D7540D4-55DE-4532-BCAB-34B2BC42E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76200</xdr:colOff>
      <xdr:row>10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68D6B5-0FD9-4C3C-BBAC-EE68A0DFB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3EE549-13B6-4810-8FAC-C23481F25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CD84C65-83C5-4A96-B091-6E0C4F709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arth Ahuja" id="{20EF3E8C-2C32-4AAD-ADA4-A1E9D934EAD8}" userId="S::parthahuja22@iitk.ac.in::f14244d8-b53a-44a3-b4b8-145484b2c62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7" dT="2023-03-25T06:39:56.91" personId="{20EF3E8C-2C32-4AAD-ADA4-A1E9D934EAD8}" id="{AD8E726A-1C1A-49C5-B732-8A57ED31ADD4}">
    <text>Dr. A. R. Dave and Ms. P. Thakar (2017). A Comparative Study on Working Capital Management Practices of Selected Companies in FMCG Industry. International Journal for Innovative Research in Multidisciplinary Field, 3(2), 88-96.</text>
  </threadedComment>
  <threadedComment ref="B18" dT="2023-03-25T06:40:13.89" personId="{20EF3E8C-2C32-4AAD-ADA4-A1E9D934EAD8}" id="{2D7545AB-D068-476F-9B64-E331A2EB434B}">
    <text>Dr. A. R. Dave and Ms. P. Thakar (2017). A Comparative Study on Working Capital Management Practices of Selected Companies in FMCG Industry. International Journal for Innovative Research in Multidisciplinary Field, 3(2), 88-96.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5E4A-4D23-405A-9E6A-ACBB79B8C605}">
  <dimension ref="A1:O35"/>
  <sheetViews>
    <sheetView zoomScale="92" workbookViewId="0">
      <selection activeCell="C4" sqref="C4"/>
    </sheetView>
  </sheetViews>
  <sheetFormatPr defaultColWidth="8.77734375" defaultRowHeight="14.4" x14ac:dyDescent="0.3"/>
  <cols>
    <col min="1" max="1" width="35.109375" style="3" customWidth="1"/>
    <col min="2" max="2" width="10.77734375" style="3" customWidth="1"/>
    <col min="3" max="3" width="13.109375" style="3" customWidth="1"/>
    <col min="4" max="8" width="9.33203125" style="3" bestFit="1" customWidth="1"/>
    <col min="9" max="9" width="10.6640625" style="3" customWidth="1"/>
    <col min="10" max="10" width="10.5546875" style="3" customWidth="1"/>
    <col min="11" max="11" width="10.77734375" style="3" customWidth="1"/>
    <col min="12" max="13" width="8.77734375" style="3"/>
    <col min="14" max="14" width="14.33203125" style="3" customWidth="1"/>
    <col min="15" max="16384" width="8.77734375" style="3"/>
  </cols>
  <sheetData>
    <row r="1" spans="1:15" x14ac:dyDescent="0.3">
      <c r="A1" s="44" t="s">
        <v>67</v>
      </c>
      <c r="B1" s="45">
        <v>2023</v>
      </c>
      <c r="C1" s="45">
        <v>2024</v>
      </c>
      <c r="D1" s="45">
        <v>2025</v>
      </c>
      <c r="E1" s="45">
        <v>2026</v>
      </c>
      <c r="F1" s="45">
        <v>2027</v>
      </c>
      <c r="G1" s="45">
        <v>2028</v>
      </c>
      <c r="H1" s="45">
        <v>2029</v>
      </c>
      <c r="I1" s="74"/>
      <c r="J1" s="74"/>
      <c r="K1" s="74"/>
    </row>
    <row r="2" spans="1:15" ht="17.55" customHeight="1" x14ac:dyDescent="0.3">
      <c r="A2" s="46"/>
      <c r="B2" s="47" t="s">
        <v>26</v>
      </c>
      <c r="C2" s="47" t="s">
        <v>26</v>
      </c>
      <c r="D2" s="47" t="s">
        <v>26</v>
      </c>
      <c r="E2" s="47" t="s">
        <v>26</v>
      </c>
      <c r="F2" s="47" t="s">
        <v>26</v>
      </c>
      <c r="G2" s="47" t="s">
        <v>26</v>
      </c>
      <c r="H2" s="47" t="s">
        <v>26</v>
      </c>
      <c r="I2" s="75"/>
      <c r="J2" s="75"/>
      <c r="K2" s="75"/>
    </row>
    <row r="3" spans="1:15" x14ac:dyDescent="0.3">
      <c r="A3" s="34" t="s">
        <v>49</v>
      </c>
      <c r="B3" s="35"/>
      <c r="C3" s="35"/>
      <c r="D3" s="35"/>
      <c r="E3" s="35"/>
      <c r="F3" s="35"/>
      <c r="G3" s="36"/>
      <c r="H3" s="36"/>
      <c r="I3" s="76"/>
      <c r="J3" s="76"/>
      <c r="K3" s="76"/>
    </row>
    <row r="4" spans="1:15" x14ac:dyDescent="0.3">
      <c r="A4" s="37" t="s">
        <v>50</v>
      </c>
      <c r="B4" s="38">
        <v>106.65</v>
      </c>
      <c r="C4" s="38">
        <f>B4*(1+'Cash Flows and Tentative Val.'!$B$1)</f>
        <v>112.51575</v>
      </c>
      <c r="D4" s="38">
        <f>C4*(1+'Cash Flows and Tentative Val.'!$B$1)</f>
        <v>118.70411624999998</v>
      </c>
      <c r="E4" s="38">
        <f>D4*(1+'Cash Flows and Tentative Val.'!$B$1)</f>
        <v>125.23284264374998</v>
      </c>
      <c r="F4" s="38">
        <f>E4*(1+'Cash Flows and Tentative Val.'!$B$1)</f>
        <v>132.12064898915622</v>
      </c>
      <c r="G4" s="38">
        <f>F4*(1+'Cash Flows and Tentative Val.'!$B$1)</f>
        <v>139.38728468355981</v>
      </c>
      <c r="H4" s="38">
        <f>G4*(1+'Cash Flows and Tentative Val.'!$B$1)</f>
        <v>147.05358534115558</v>
      </c>
      <c r="I4" s="77"/>
      <c r="J4" s="77"/>
      <c r="K4" s="77"/>
    </row>
    <row r="5" spans="1:15" x14ac:dyDescent="0.3">
      <c r="A5" s="39" t="s">
        <v>12</v>
      </c>
      <c r="B5" s="40">
        <f>B4</f>
        <v>106.65</v>
      </c>
      <c r="C5" s="40">
        <f t="shared" ref="C5:H5" si="0">C4</f>
        <v>112.51575</v>
      </c>
      <c r="D5" s="40">
        <f t="shared" si="0"/>
        <v>118.70411624999998</v>
      </c>
      <c r="E5" s="40">
        <f t="shared" si="0"/>
        <v>125.23284264374998</v>
      </c>
      <c r="F5" s="40">
        <f t="shared" si="0"/>
        <v>132.12064898915622</v>
      </c>
      <c r="G5" s="40">
        <f t="shared" si="0"/>
        <v>139.38728468355981</v>
      </c>
      <c r="H5" s="40">
        <f t="shared" si="0"/>
        <v>147.05358534115558</v>
      </c>
      <c r="I5" s="78"/>
      <c r="J5" s="78"/>
      <c r="K5" s="78"/>
    </row>
    <row r="6" spans="1:15" x14ac:dyDescent="0.3">
      <c r="A6" s="34" t="s">
        <v>51</v>
      </c>
      <c r="B6" s="38"/>
      <c r="C6" s="38"/>
      <c r="D6" s="38"/>
      <c r="E6" s="38"/>
      <c r="F6" s="38"/>
      <c r="G6" s="41"/>
      <c r="H6" s="41"/>
      <c r="I6" s="79"/>
      <c r="J6" s="79"/>
      <c r="K6" s="79"/>
    </row>
    <row r="7" spans="1:15" x14ac:dyDescent="0.3">
      <c r="A7" s="37" t="s">
        <v>14</v>
      </c>
      <c r="B7" s="38">
        <v>20</v>
      </c>
      <c r="C7" s="38">
        <f>B7*(1+0.02)</f>
        <v>20.399999999999999</v>
      </c>
      <c r="D7" s="38">
        <f t="shared" ref="D7:H7" si="1">C7*(1+0.02)</f>
        <v>20.808</v>
      </c>
      <c r="E7" s="38">
        <f t="shared" si="1"/>
        <v>21.224160000000001</v>
      </c>
      <c r="F7" s="38">
        <f t="shared" si="1"/>
        <v>21.648643200000002</v>
      </c>
      <c r="G7" s="38">
        <f t="shared" si="1"/>
        <v>22.081616064000002</v>
      </c>
      <c r="H7" s="38">
        <f t="shared" si="1"/>
        <v>22.523248385280002</v>
      </c>
      <c r="I7" s="77"/>
      <c r="J7" s="77"/>
      <c r="K7" s="77"/>
    </row>
    <row r="8" spans="1:15" x14ac:dyDescent="0.3">
      <c r="A8" s="37" t="s">
        <v>52</v>
      </c>
      <c r="B8" s="38">
        <f>B5*0.04</f>
        <v>4.266</v>
      </c>
      <c r="C8" s="38">
        <f t="shared" ref="C8:H8" si="2">B8*(1+$B$22)</f>
        <v>4.5407304000000002</v>
      </c>
      <c r="D8" s="38">
        <f t="shared" si="2"/>
        <v>4.8331534377600001</v>
      </c>
      <c r="E8" s="38">
        <f t="shared" si="2"/>
        <v>5.1444085191517441</v>
      </c>
      <c r="F8" s="38">
        <f t="shared" si="2"/>
        <v>5.4757084277851167</v>
      </c>
      <c r="G8" s="38">
        <f t="shared" si="2"/>
        <v>5.8283440505344783</v>
      </c>
      <c r="H8" s="38">
        <f t="shared" si="2"/>
        <v>6.2036894073888984</v>
      </c>
      <c r="I8" s="77"/>
      <c r="J8" s="77"/>
      <c r="K8" s="77"/>
    </row>
    <row r="9" spans="1:15" x14ac:dyDescent="0.3">
      <c r="A9" s="37" t="s">
        <v>53</v>
      </c>
      <c r="B9" s="38">
        <f>B5*0.48</f>
        <v>51.192</v>
      </c>
      <c r="C9" s="38">
        <f>C5*0.48</f>
        <v>54.007559999999998</v>
      </c>
      <c r="D9" s="38">
        <f>D5*0.48</f>
        <v>56.977975799999989</v>
      </c>
      <c r="E9" s="38">
        <f t="shared" ref="E9:H9" si="3">E5*0.48</f>
        <v>60.111764468999986</v>
      </c>
      <c r="F9" s="38">
        <f t="shared" si="3"/>
        <v>63.417911514794987</v>
      </c>
      <c r="G9" s="38">
        <f t="shared" si="3"/>
        <v>66.905896648108708</v>
      </c>
      <c r="H9" s="38">
        <f t="shared" si="3"/>
        <v>70.585720963754682</v>
      </c>
      <c r="I9" s="77"/>
      <c r="J9" s="77"/>
      <c r="K9" s="77"/>
    </row>
    <row r="10" spans="1:15" x14ac:dyDescent="0.3">
      <c r="A10" s="39" t="s">
        <v>16</v>
      </c>
      <c r="B10" s="40">
        <f>SUM(B7:B9)</f>
        <v>75.457999999999998</v>
      </c>
      <c r="C10" s="40">
        <f t="shared" ref="C10:H10" si="4">SUM(C7:C9)</f>
        <v>78.948290399999991</v>
      </c>
      <c r="D10" s="40">
        <f t="shared" si="4"/>
        <v>82.619129237759992</v>
      </c>
      <c r="E10" s="40">
        <f t="shared" si="4"/>
        <v>86.48033298815173</v>
      </c>
      <c r="F10" s="40">
        <f t="shared" si="4"/>
        <v>90.542263142580111</v>
      </c>
      <c r="G10" s="40">
        <f t="shared" si="4"/>
        <v>94.815856762643193</v>
      </c>
      <c r="H10" s="40">
        <f t="shared" si="4"/>
        <v>99.312658756423588</v>
      </c>
      <c r="I10" s="78"/>
      <c r="J10" s="78"/>
      <c r="K10" s="78"/>
    </row>
    <row r="11" spans="1:15" x14ac:dyDescent="0.3">
      <c r="A11" s="37" t="s">
        <v>54</v>
      </c>
      <c r="B11" s="38">
        <f>B5-B10</f>
        <v>31.192000000000007</v>
      </c>
      <c r="C11" s="38">
        <f t="shared" ref="C11:H11" si="5">C5-C10</f>
        <v>33.567459600000007</v>
      </c>
      <c r="D11" s="38">
        <f t="shared" si="5"/>
        <v>36.084987012239992</v>
      </c>
      <c r="E11" s="38">
        <f t="shared" si="5"/>
        <v>38.752509655598246</v>
      </c>
      <c r="F11" s="38">
        <f t="shared" si="5"/>
        <v>41.578385846576111</v>
      </c>
      <c r="G11" s="38">
        <f t="shared" si="5"/>
        <v>44.571427920916619</v>
      </c>
      <c r="H11" s="38">
        <f t="shared" si="5"/>
        <v>47.740926584731994</v>
      </c>
      <c r="I11" s="77"/>
      <c r="J11" s="77"/>
      <c r="K11" s="77"/>
      <c r="N11" s="81"/>
      <c r="O11" s="82"/>
    </row>
    <row r="12" spans="1:15" x14ac:dyDescent="0.3">
      <c r="A12" s="39" t="s">
        <v>55</v>
      </c>
      <c r="B12" s="40">
        <f>B11</f>
        <v>31.192000000000007</v>
      </c>
      <c r="C12" s="40">
        <f t="shared" ref="C12:H12" si="6">C11</f>
        <v>33.567459600000007</v>
      </c>
      <c r="D12" s="40">
        <f t="shared" si="6"/>
        <v>36.084987012239992</v>
      </c>
      <c r="E12" s="40">
        <f t="shared" si="6"/>
        <v>38.752509655598246</v>
      </c>
      <c r="F12" s="40">
        <f t="shared" si="6"/>
        <v>41.578385846576111</v>
      </c>
      <c r="G12" s="40">
        <f t="shared" si="6"/>
        <v>44.571427920916619</v>
      </c>
      <c r="H12" s="40">
        <f t="shared" si="6"/>
        <v>47.740926584731994</v>
      </c>
      <c r="I12" s="78"/>
      <c r="J12" s="78"/>
      <c r="K12" s="78"/>
      <c r="N12" s="81"/>
      <c r="O12" s="82"/>
    </row>
    <row r="13" spans="1:15" x14ac:dyDescent="0.3">
      <c r="A13" s="37" t="s">
        <v>56</v>
      </c>
      <c r="B13" s="38">
        <v>0</v>
      </c>
      <c r="C13" s="38">
        <v>2.36</v>
      </c>
      <c r="D13" s="38">
        <v>2.36</v>
      </c>
      <c r="E13" s="38">
        <v>2.36</v>
      </c>
      <c r="F13" s="38">
        <v>2.36</v>
      </c>
      <c r="G13" s="38">
        <v>2.36</v>
      </c>
      <c r="H13" s="38">
        <v>2.36</v>
      </c>
      <c r="I13" s="77"/>
      <c r="J13" s="77"/>
      <c r="K13" s="77"/>
      <c r="N13" s="81"/>
      <c r="O13" s="82"/>
    </row>
    <row r="14" spans="1:15" x14ac:dyDescent="0.3">
      <c r="A14" s="39" t="s">
        <v>57</v>
      </c>
      <c r="B14" s="40">
        <f>B12-B13</f>
        <v>31.192000000000007</v>
      </c>
      <c r="C14" s="40">
        <f t="shared" ref="C14:H14" si="7">C12-C13</f>
        <v>31.207459600000007</v>
      </c>
      <c r="D14" s="40">
        <f t="shared" si="7"/>
        <v>33.724987012239993</v>
      </c>
      <c r="E14" s="40">
        <f t="shared" si="7"/>
        <v>36.392509655598246</v>
      </c>
      <c r="F14" s="40">
        <f t="shared" si="7"/>
        <v>39.218385846576112</v>
      </c>
      <c r="G14" s="40">
        <f t="shared" si="7"/>
        <v>42.21142792091662</v>
      </c>
      <c r="H14" s="40">
        <f t="shared" si="7"/>
        <v>45.380926584731995</v>
      </c>
      <c r="I14" s="78"/>
      <c r="J14" s="78"/>
      <c r="K14" s="78"/>
    </row>
    <row r="15" spans="1:15" x14ac:dyDescent="0.3">
      <c r="A15" s="37" t="s">
        <v>58</v>
      </c>
      <c r="B15" s="41">
        <f>SUM(Investments!$B$3:$B$4)*'Income Statement'!$B$28</f>
        <v>0.20005999999999999</v>
      </c>
      <c r="C15" s="41">
        <f>SUM(Investments!$B$3:$B$4)*'Income Statement'!$B$29</f>
        <v>0.34286</v>
      </c>
      <c r="D15" s="41">
        <f>SUM(Investments!$B$3:$B$4)*'Income Statement'!$B$30</f>
        <v>0.24485999999999999</v>
      </c>
      <c r="E15" s="41">
        <f>SUM(Investments!$B$3:$B$4)*'Income Statement'!$B$31</f>
        <v>0.17485999999999999</v>
      </c>
      <c r="F15" s="41">
        <f>SUM(Investments!$B$3:$B$4)*'Income Statement'!$B$32</f>
        <v>0.12501999999999999</v>
      </c>
      <c r="G15" s="41">
        <f>SUM(Investments!$B$3:$B$4)*'Income Statement'!$B$33</f>
        <v>0.12487999999999999</v>
      </c>
      <c r="H15" s="41">
        <f>SUM(Investments!$B$3:$B$4)*'Income Statement'!$B$34</f>
        <v>0.12501999999999999</v>
      </c>
      <c r="I15" s="79"/>
      <c r="J15" s="79"/>
      <c r="K15" s="79"/>
      <c r="N15" s="4"/>
      <c r="O15" s="5"/>
    </row>
    <row r="16" spans="1:15" x14ac:dyDescent="0.3">
      <c r="A16" s="39" t="s">
        <v>59</v>
      </c>
      <c r="B16" s="40">
        <f>B14-B15</f>
        <v>30.991940000000007</v>
      </c>
      <c r="C16" s="40">
        <f t="shared" ref="C16:H16" si="8">C14-C15</f>
        <v>30.864599600000005</v>
      </c>
      <c r="D16" s="40">
        <f t="shared" si="8"/>
        <v>33.48012701223999</v>
      </c>
      <c r="E16" s="40">
        <f t="shared" si="8"/>
        <v>36.217649655598244</v>
      </c>
      <c r="F16" s="40">
        <f t="shared" si="8"/>
        <v>39.093365846576113</v>
      </c>
      <c r="G16" s="40">
        <f t="shared" si="8"/>
        <v>42.086547920916622</v>
      </c>
      <c r="H16" s="40">
        <f t="shared" si="8"/>
        <v>45.255906584731996</v>
      </c>
      <c r="I16" s="78"/>
      <c r="J16" s="78"/>
      <c r="K16" s="78"/>
    </row>
    <row r="17" spans="1:12" x14ac:dyDescent="0.3">
      <c r="A17" s="37" t="s">
        <v>60</v>
      </c>
      <c r="B17" s="38">
        <f>B16*(0.18)</f>
        <v>5.5785492000000012</v>
      </c>
      <c r="C17" s="38">
        <f t="shared" ref="C17:H17" si="9">C16*(0.18)</f>
        <v>5.5556279280000007</v>
      </c>
      <c r="D17" s="38">
        <f t="shared" si="9"/>
        <v>6.0264228622031979</v>
      </c>
      <c r="E17" s="38">
        <f t="shared" si="9"/>
        <v>6.5191769380076838</v>
      </c>
      <c r="F17" s="38">
        <f t="shared" si="9"/>
        <v>7.0368058523836998</v>
      </c>
      <c r="G17" s="38">
        <f t="shared" si="9"/>
        <v>7.575578625764992</v>
      </c>
      <c r="H17" s="38">
        <f t="shared" si="9"/>
        <v>8.1460631852517587</v>
      </c>
      <c r="I17" s="77"/>
      <c r="J17" s="77"/>
      <c r="K17" s="77"/>
    </row>
    <row r="18" spans="1:12" x14ac:dyDescent="0.3">
      <c r="A18" s="42" t="s">
        <v>61</v>
      </c>
      <c r="B18" s="43">
        <f>B16-B17</f>
        <v>25.413390800000005</v>
      </c>
      <c r="C18" s="43">
        <f t="shared" ref="C18:H18" si="10">C16-C17</f>
        <v>25.308971672000006</v>
      </c>
      <c r="D18" s="43">
        <f t="shared" si="10"/>
        <v>27.453704150036792</v>
      </c>
      <c r="E18" s="43">
        <f t="shared" si="10"/>
        <v>29.698472717590562</v>
      </c>
      <c r="F18" s="43">
        <f t="shared" si="10"/>
        <v>32.056559994192412</v>
      </c>
      <c r="G18" s="43">
        <f t="shared" si="10"/>
        <v>34.510969295151632</v>
      </c>
      <c r="H18" s="43">
        <f t="shared" si="10"/>
        <v>37.109843399480241</v>
      </c>
      <c r="I18" s="80"/>
      <c r="J18" s="80"/>
      <c r="K18" s="80"/>
      <c r="L18" s="6"/>
    </row>
    <row r="19" spans="1:12" x14ac:dyDescent="0.3">
      <c r="L19" s="6"/>
    </row>
    <row r="21" spans="1:12" x14ac:dyDescent="0.3">
      <c r="A21" s="10"/>
      <c r="B21" s="10"/>
      <c r="C21" s="10"/>
    </row>
    <row r="22" spans="1:12" ht="16.95" customHeight="1" x14ac:dyDescent="0.3">
      <c r="A22" s="65" t="s">
        <v>63</v>
      </c>
      <c r="B22" s="66">
        <v>6.4399999999999999E-2</v>
      </c>
      <c r="C22" s="8"/>
      <c r="D22" s="9"/>
    </row>
    <row r="23" spans="1:12" x14ac:dyDescent="0.3">
      <c r="A23" s="67" t="s">
        <v>64</v>
      </c>
      <c r="B23" s="68">
        <v>4.2999999999999997E-2</v>
      </c>
    </row>
    <row r="24" spans="1:12" x14ac:dyDescent="0.3">
      <c r="A24" s="69" t="s">
        <v>65</v>
      </c>
      <c r="B24" s="70">
        <v>0.48</v>
      </c>
      <c r="C24" s="61"/>
      <c r="D24" s="61"/>
      <c r="E24" s="61"/>
    </row>
    <row r="26" spans="1:12" x14ac:dyDescent="0.3">
      <c r="A26" s="100" t="s">
        <v>8</v>
      </c>
      <c r="B26" s="101"/>
    </row>
    <row r="27" spans="1:12" x14ac:dyDescent="0.3">
      <c r="A27" s="11" t="s">
        <v>10</v>
      </c>
      <c r="B27" s="12" t="s">
        <v>77</v>
      </c>
    </row>
    <row r="28" spans="1:12" x14ac:dyDescent="0.3">
      <c r="A28" s="13">
        <v>1</v>
      </c>
      <c r="B28" s="14">
        <v>0.1429</v>
      </c>
    </row>
    <row r="29" spans="1:12" x14ac:dyDescent="0.3">
      <c r="A29" s="13">
        <v>2</v>
      </c>
      <c r="B29" s="14">
        <v>0.24490000000000001</v>
      </c>
    </row>
    <row r="30" spans="1:12" x14ac:dyDescent="0.3">
      <c r="A30" s="13">
        <v>3</v>
      </c>
      <c r="B30" s="14">
        <v>0.1749</v>
      </c>
    </row>
    <row r="31" spans="1:12" x14ac:dyDescent="0.3">
      <c r="A31" s="13">
        <v>4</v>
      </c>
      <c r="B31" s="14">
        <v>0.1249</v>
      </c>
    </row>
    <row r="32" spans="1:12" x14ac:dyDescent="0.3">
      <c r="A32" s="13">
        <v>5</v>
      </c>
      <c r="B32" s="14">
        <v>8.9300000000000004E-2</v>
      </c>
    </row>
    <row r="33" spans="1:2" x14ac:dyDescent="0.3">
      <c r="A33" s="13">
        <v>6</v>
      </c>
      <c r="B33" s="14">
        <v>8.9200000000000002E-2</v>
      </c>
    </row>
    <row r="34" spans="1:2" x14ac:dyDescent="0.3">
      <c r="A34" s="13">
        <v>7</v>
      </c>
      <c r="B34" s="14">
        <v>8.9300000000000004E-2</v>
      </c>
    </row>
    <row r="35" spans="1:2" x14ac:dyDescent="0.3">
      <c r="A35" s="13">
        <v>8</v>
      </c>
      <c r="B35" s="14">
        <v>4.4600000000000001E-2</v>
      </c>
    </row>
  </sheetData>
  <mergeCells count="1">
    <mergeCell ref="A26:B26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25E8-11AF-45AE-9446-B12CD51F3875}">
  <dimension ref="A1:C24"/>
  <sheetViews>
    <sheetView workbookViewId="0">
      <selection activeCell="E11" sqref="E11"/>
    </sheetView>
  </sheetViews>
  <sheetFormatPr defaultColWidth="8.77734375" defaultRowHeight="14.4" x14ac:dyDescent="0.3"/>
  <cols>
    <col min="1" max="1" width="28.88671875" style="3" bestFit="1" customWidth="1"/>
    <col min="2" max="2" width="12.33203125" style="3" bestFit="1" customWidth="1"/>
    <col min="3" max="3" width="11" style="3" customWidth="1"/>
    <col min="4" max="6" width="8.77734375" style="3"/>
    <col min="7" max="7" width="28.88671875" style="3" bestFit="1" customWidth="1"/>
    <col min="8" max="8" width="24.21875" style="3" customWidth="1"/>
    <col min="9" max="16384" width="8.77734375" style="3"/>
  </cols>
  <sheetData>
    <row r="1" spans="1:3" x14ac:dyDescent="0.3">
      <c r="A1" s="102" t="s">
        <v>68</v>
      </c>
      <c r="B1" s="103"/>
      <c r="C1" s="7"/>
    </row>
    <row r="2" spans="1:3" x14ac:dyDescent="0.3">
      <c r="A2" s="83" t="s">
        <v>0</v>
      </c>
      <c r="B2" s="84">
        <v>0.2</v>
      </c>
    </row>
    <row r="3" spans="1:3" x14ac:dyDescent="0.3">
      <c r="A3" s="83" t="s">
        <v>1</v>
      </c>
      <c r="B3" s="84">
        <v>0.4</v>
      </c>
    </row>
    <row r="4" spans="1:3" x14ac:dyDescent="0.3">
      <c r="A4" s="85" t="s">
        <v>2</v>
      </c>
      <c r="B4" s="86">
        <v>1</v>
      </c>
    </row>
    <row r="6" spans="1:3" x14ac:dyDescent="0.3">
      <c r="A6" s="102" t="s">
        <v>70</v>
      </c>
      <c r="B6" s="103"/>
    </row>
    <row r="7" spans="1:3" x14ac:dyDescent="0.3">
      <c r="A7" s="83" t="s">
        <v>71</v>
      </c>
      <c r="B7" s="84">
        <f>20/100000</f>
        <v>2.0000000000000001E-4</v>
      </c>
    </row>
    <row r="8" spans="1:3" x14ac:dyDescent="0.3">
      <c r="A8" s="85" t="s">
        <v>69</v>
      </c>
      <c r="B8" s="88">
        <v>20</v>
      </c>
    </row>
    <row r="10" spans="1:3" x14ac:dyDescent="0.3">
      <c r="A10" s="102" t="s">
        <v>72</v>
      </c>
      <c r="B10" s="103"/>
      <c r="C10" s="7"/>
    </row>
    <row r="11" spans="1:3" x14ac:dyDescent="0.3">
      <c r="A11" s="89" t="s">
        <v>3</v>
      </c>
      <c r="B11" s="90">
        <v>16</v>
      </c>
    </row>
    <row r="12" spans="1:3" x14ac:dyDescent="0.3">
      <c r="A12" s="87" t="s">
        <v>74</v>
      </c>
      <c r="B12" s="87">
        <v>0.2</v>
      </c>
    </row>
    <row r="13" spans="1:3" x14ac:dyDescent="0.3">
      <c r="A13" s="87" t="s">
        <v>75</v>
      </c>
      <c r="B13" s="87">
        <v>0.35</v>
      </c>
    </row>
    <row r="14" spans="1:3" x14ac:dyDescent="0.3">
      <c r="A14" s="87" t="s">
        <v>76</v>
      </c>
      <c r="B14" s="87">
        <v>0.3</v>
      </c>
    </row>
    <row r="15" spans="1:3" x14ac:dyDescent="0.3">
      <c r="A15" s="104" t="s">
        <v>73</v>
      </c>
      <c r="B15" s="105"/>
    </row>
    <row r="16" spans="1:3" x14ac:dyDescent="0.3">
      <c r="A16" s="83"/>
      <c r="B16" s="84"/>
    </row>
    <row r="17" spans="1:2" x14ac:dyDescent="0.3">
      <c r="A17" s="83"/>
      <c r="B17" s="84"/>
    </row>
    <row r="18" spans="1:2" x14ac:dyDescent="0.3">
      <c r="A18" s="83"/>
      <c r="B18" s="91"/>
    </row>
    <row r="19" spans="1:2" x14ac:dyDescent="0.3">
      <c r="A19" s="83"/>
      <c r="B19" s="91"/>
    </row>
    <row r="20" spans="1:2" x14ac:dyDescent="0.3">
      <c r="A20" s="85" t="s">
        <v>6</v>
      </c>
      <c r="B20" s="88">
        <v>24</v>
      </c>
    </row>
    <row r="23" spans="1:2" x14ac:dyDescent="0.3">
      <c r="A23" s="93" t="s">
        <v>7</v>
      </c>
    </row>
    <row r="24" spans="1:2" x14ac:dyDescent="0.3">
      <c r="A24" s="92">
        <f>SUM(B2:B4)+B20</f>
        <v>25.6</v>
      </c>
    </row>
  </sheetData>
  <mergeCells count="4">
    <mergeCell ref="A6:B6"/>
    <mergeCell ref="A15:B15"/>
    <mergeCell ref="A1:B1"/>
    <mergeCell ref="A10:B10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845D9-1EA5-4386-B59C-C3B7626D4250}">
  <dimension ref="A1:R36"/>
  <sheetViews>
    <sheetView tabSelected="1" zoomScale="75" zoomScaleNormal="125" workbookViewId="0">
      <selection activeCell="N19" sqref="N19"/>
    </sheetView>
  </sheetViews>
  <sheetFormatPr defaultColWidth="8.77734375" defaultRowHeight="14.4" x14ac:dyDescent="0.3"/>
  <cols>
    <col min="1" max="1" width="31.21875" style="1" bestFit="1" customWidth="1"/>
    <col min="2" max="2" width="10.77734375" style="1" customWidth="1"/>
    <col min="3" max="3" width="11" style="1" customWidth="1"/>
    <col min="4" max="5" width="10" style="1" customWidth="1"/>
    <col min="6" max="6" width="10.21875" style="1" customWidth="1"/>
    <col min="7" max="7" width="10.5546875" style="1" customWidth="1"/>
    <col min="8" max="8" width="11.109375" style="1" customWidth="1"/>
    <col min="9" max="9" width="13.33203125" style="1" customWidth="1"/>
    <col min="10" max="11" width="10.33203125" style="1" customWidth="1"/>
    <col min="12" max="16384" width="8.77734375" style="1"/>
  </cols>
  <sheetData>
    <row r="1" spans="1:18" x14ac:dyDescent="0.3">
      <c r="A1" s="32" t="s">
        <v>4</v>
      </c>
      <c r="B1" s="33">
        <v>5.5E-2</v>
      </c>
    </row>
    <row r="2" spans="1:18" x14ac:dyDescent="0.3">
      <c r="A2" s="32" t="s">
        <v>9</v>
      </c>
      <c r="B2" s="32">
        <v>106.65</v>
      </c>
    </row>
    <row r="4" spans="1:18" x14ac:dyDescent="0.3">
      <c r="A4" s="106" t="s">
        <v>11</v>
      </c>
      <c r="B4" s="107"/>
      <c r="C4" s="107"/>
      <c r="D4" s="107"/>
      <c r="E4" s="107"/>
      <c r="F4" s="107"/>
      <c r="G4" s="107"/>
      <c r="H4" s="107"/>
      <c r="I4" s="107"/>
      <c r="J4" s="107"/>
      <c r="K4" s="108"/>
    </row>
    <row r="5" spans="1:18" x14ac:dyDescent="0.3">
      <c r="A5" s="22" t="s">
        <v>5</v>
      </c>
      <c r="B5" s="16">
        <v>2023</v>
      </c>
      <c r="C5" s="16">
        <v>2024</v>
      </c>
      <c r="D5" s="16">
        <v>2025</v>
      </c>
      <c r="E5" s="16">
        <v>2026</v>
      </c>
      <c r="F5" s="16">
        <v>2027</v>
      </c>
      <c r="G5" s="16">
        <v>2028</v>
      </c>
      <c r="H5" s="16">
        <v>2029</v>
      </c>
      <c r="I5" s="16" t="s">
        <v>81</v>
      </c>
      <c r="J5" s="16"/>
      <c r="K5" s="23"/>
    </row>
    <row r="6" spans="1:18" ht="15.45" customHeight="1" x14ac:dyDescent="0.3">
      <c r="A6" s="24" t="s">
        <v>12</v>
      </c>
      <c r="B6" s="17">
        <v>106.65</v>
      </c>
      <c r="C6" s="17">
        <f>B6*(1+$B$1)+9</f>
        <v>121.51575</v>
      </c>
      <c r="D6" s="17">
        <f>C6*(1+$B$1)+9.495</f>
        <v>137.69411625000001</v>
      </c>
      <c r="E6" s="17">
        <f>D6*(1+$B$1)+10.017</f>
        <v>155.28429264375001</v>
      </c>
      <c r="F6" s="17">
        <f>E6*(1+$B$1)+10.56</f>
        <v>174.38492873915624</v>
      </c>
      <c r="G6" s="17">
        <f>F6*(1+$B$1)+11.149</f>
        <v>195.12509981980983</v>
      </c>
      <c r="H6" s="17">
        <f>G6*(1+$B$1)+11.76</f>
        <v>217.61698030989936</v>
      </c>
      <c r="I6" s="17"/>
      <c r="J6" s="17"/>
      <c r="K6" s="25"/>
    </row>
    <row r="7" spans="1:18" x14ac:dyDescent="0.3">
      <c r="A7" s="26" t="s">
        <v>13</v>
      </c>
      <c r="B7" s="18"/>
      <c r="C7" s="18"/>
      <c r="D7" s="18"/>
      <c r="E7" s="18"/>
      <c r="F7" s="18"/>
      <c r="G7" s="18"/>
      <c r="H7" s="18"/>
      <c r="I7" s="18"/>
      <c r="J7" s="18"/>
      <c r="K7" s="27"/>
    </row>
    <row r="8" spans="1:18" x14ac:dyDescent="0.3">
      <c r="A8" s="28" t="s">
        <v>14</v>
      </c>
      <c r="B8" s="18">
        <f>'Income Statement'!B7</f>
        <v>20</v>
      </c>
      <c r="C8" s="18">
        <f>'Income Statement'!C7</f>
        <v>20.399999999999999</v>
      </c>
      <c r="D8" s="18">
        <f>'Income Statement'!D7</f>
        <v>20.808</v>
      </c>
      <c r="E8" s="18">
        <f>'Income Statement'!E7</f>
        <v>21.224160000000001</v>
      </c>
      <c r="F8" s="18">
        <f>'Income Statement'!F7</f>
        <v>21.648643200000002</v>
      </c>
      <c r="G8" s="18">
        <f>'Income Statement'!G7</f>
        <v>22.081616064000002</v>
      </c>
      <c r="H8" s="18">
        <f>'Income Statement'!H7</f>
        <v>22.523248385280002</v>
      </c>
      <c r="I8" s="18"/>
      <c r="J8" s="18"/>
      <c r="K8" s="27"/>
    </row>
    <row r="9" spans="1:18" x14ac:dyDescent="0.3">
      <c r="A9" s="28" t="s">
        <v>52</v>
      </c>
      <c r="B9" s="18">
        <f t="shared" ref="B9:H9" si="0">B6*0.04</f>
        <v>4.266</v>
      </c>
      <c r="C9" s="18">
        <f t="shared" si="0"/>
        <v>4.8606299999999996</v>
      </c>
      <c r="D9" s="18">
        <f t="shared" si="0"/>
        <v>5.5077646500000004</v>
      </c>
      <c r="E9" s="18">
        <f t="shared" si="0"/>
        <v>6.2113717057500004</v>
      </c>
      <c r="F9" s="18">
        <f t="shared" si="0"/>
        <v>6.9753971495662492</v>
      </c>
      <c r="G9" s="18">
        <f t="shared" si="0"/>
        <v>7.8050039927923933</v>
      </c>
      <c r="H9" s="18">
        <f t="shared" si="0"/>
        <v>8.7046792123959751</v>
      </c>
      <c r="I9" s="18"/>
      <c r="J9" s="18"/>
      <c r="K9" s="27"/>
    </row>
    <row r="10" spans="1:18" x14ac:dyDescent="0.3">
      <c r="A10" s="28" t="s">
        <v>15</v>
      </c>
      <c r="B10" s="18">
        <f>'Income Statement'!B9</f>
        <v>51.192</v>
      </c>
      <c r="C10" s="18">
        <f>'Income Statement'!C9</f>
        <v>54.007559999999998</v>
      </c>
      <c r="D10" s="18">
        <f>'Income Statement'!D9</f>
        <v>56.977975799999989</v>
      </c>
      <c r="E10" s="18">
        <f>'Income Statement'!E9</f>
        <v>60.111764468999986</v>
      </c>
      <c r="F10" s="18">
        <f>'Income Statement'!F9</f>
        <v>63.417911514794987</v>
      </c>
      <c r="G10" s="18">
        <f>'Income Statement'!G9</f>
        <v>66.905896648108708</v>
      </c>
      <c r="H10" s="18">
        <f>'Income Statement'!H9</f>
        <v>70.585720963754682</v>
      </c>
      <c r="I10" s="18"/>
      <c r="J10" s="18"/>
      <c r="K10" s="27"/>
    </row>
    <row r="11" spans="1:18" x14ac:dyDescent="0.3">
      <c r="A11" s="19" t="s">
        <v>16</v>
      </c>
      <c r="B11" s="20">
        <f>SUM(B8:B10)</f>
        <v>75.457999999999998</v>
      </c>
      <c r="C11" s="20">
        <f t="shared" ref="C11:H11" si="1">SUM(C8:C10)</f>
        <v>79.268190000000004</v>
      </c>
      <c r="D11" s="20">
        <f t="shared" si="1"/>
        <v>83.293740449999987</v>
      </c>
      <c r="E11" s="20">
        <f t="shared" si="1"/>
        <v>87.547296174749988</v>
      </c>
      <c r="F11" s="20">
        <f t="shared" si="1"/>
        <v>92.041951864361238</v>
      </c>
      <c r="G11" s="20">
        <f t="shared" si="1"/>
        <v>96.792516704901104</v>
      </c>
      <c r="H11" s="20">
        <f t="shared" si="1"/>
        <v>101.81364856143065</v>
      </c>
      <c r="I11" s="20"/>
      <c r="J11" s="20"/>
      <c r="K11" s="21"/>
    </row>
    <row r="12" spans="1:18" x14ac:dyDescent="0.3">
      <c r="A12" s="26" t="s">
        <v>17</v>
      </c>
      <c r="B12" s="17">
        <f t="shared" ref="B12:H12" si="2">B6-B11</f>
        <v>31.192000000000007</v>
      </c>
      <c r="C12" s="17">
        <f t="shared" si="2"/>
        <v>42.247559999999993</v>
      </c>
      <c r="D12" s="17">
        <f t="shared" si="2"/>
        <v>54.40037580000002</v>
      </c>
      <c r="E12" s="17">
        <f t="shared" si="2"/>
        <v>67.736996469000019</v>
      </c>
      <c r="F12" s="17">
        <f t="shared" si="2"/>
        <v>82.342976874794999</v>
      </c>
      <c r="G12" s="17">
        <f t="shared" si="2"/>
        <v>98.332583114908729</v>
      </c>
      <c r="H12" s="17">
        <f t="shared" si="2"/>
        <v>115.80333174846871</v>
      </c>
      <c r="I12" s="17"/>
      <c r="J12" s="17"/>
      <c r="K12" s="25"/>
    </row>
    <row r="13" spans="1:18" x14ac:dyDescent="0.3">
      <c r="A13" s="28" t="s">
        <v>18</v>
      </c>
      <c r="B13" s="18">
        <f>SUM(Investments!B3:B4)*'Income Statement'!B28</f>
        <v>0.20005999999999999</v>
      </c>
      <c r="C13" s="18">
        <f>SUM(Investments!$B$3:$B$4)*'Income Statement'!B29</f>
        <v>0.34286</v>
      </c>
      <c r="D13" s="18">
        <f>SUM(Investments!$B$3:$B$4)*'Income Statement'!B30</f>
        <v>0.24485999999999999</v>
      </c>
      <c r="E13" s="18">
        <f>SUM(Investments!$B$3:$B$4)*'Income Statement'!B31</f>
        <v>0.17485999999999999</v>
      </c>
      <c r="F13" s="18">
        <f>SUM(Investments!$B$3:$B$4)*'Income Statement'!B32</f>
        <v>0.12501999999999999</v>
      </c>
      <c r="G13" s="18">
        <f>SUM(Investments!$B$3:$B$4)*'Income Statement'!B33</f>
        <v>0.12487999999999999</v>
      </c>
      <c r="H13" s="18">
        <f>SUM(Investments!$B$3:$B$4)*'Income Statement'!B34</f>
        <v>0.12501999999999999</v>
      </c>
      <c r="I13" s="18"/>
      <c r="J13" s="18"/>
      <c r="K13" s="27"/>
      <c r="Q13" s="2"/>
      <c r="R13" s="2"/>
    </row>
    <row r="14" spans="1:18" x14ac:dyDescent="0.3">
      <c r="A14" s="28" t="s">
        <v>25</v>
      </c>
      <c r="B14" s="18">
        <v>0</v>
      </c>
      <c r="C14" s="18">
        <v>1.99</v>
      </c>
      <c r="D14" s="18">
        <v>1.99</v>
      </c>
      <c r="E14" s="18">
        <v>1.99</v>
      </c>
      <c r="F14" s="18">
        <v>1.99</v>
      </c>
      <c r="G14" s="18">
        <v>1.99</v>
      </c>
      <c r="H14" s="18">
        <v>1.99</v>
      </c>
      <c r="I14" s="18"/>
      <c r="J14" s="18"/>
      <c r="K14" s="18"/>
      <c r="Q14" s="2"/>
      <c r="R14" s="2"/>
    </row>
    <row r="15" spans="1:18" x14ac:dyDescent="0.3">
      <c r="A15" s="26" t="s">
        <v>24</v>
      </c>
      <c r="B15" s="17">
        <f>B12-B13-B14</f>
        <v>30.991940000000007</v>
      </c>
      <c r="C15" s="17">
        <f t="shared" ref="C15:H15" si="3">C12-C13-C14</f>
        <v>39.914699999999989</v>
      </c>
      <c r="D15" s="17">
        <f t="shared" si="3"/>
        <v>52.165515800000016</v>
      </c>
      <c r="E15" s="17">
        <f t="shared" si="3"/>
        <v>65.572136469000029</v>
      </c>
      <c r="F15" s="17">
        <f t="shared" si="3"/>
        <v>80.227956874794998</v>
      </c>
      <c r="G15" s="17">
        <f t="shared" si="3"/>
        <v>96.21770311490873</v>
      </c>
      <c r="H15" s="17">
        <f t="shared" si="3"/>
        <v>113.68831174846871</v>
      </c>
      <c r="I15" s="17"/>
      <c r="J15" s="17"/>
      <c r="K15" s="25"/>
    </row>
    <row r="16" spans="1:18" x14ac:dyDescent="0.3">
      <c r="A16" s="28" t="s">
        <v>23</v>
      </c>
      <c r="B16" s="18">
        <f>B15*0.3</f>
        <v>9.297582000000002</v>
      </c>
      <c r="C16" s="18">
        <f t="shared" ref="C16:H16" si="4">C15*0.3</f>
        <v>11.974409999999997</v>
      </c>
      <c r="D16" s="18">
        <f t="shared" si="4"/>
        <v>15.649654740000004</v>
      </c>
      <c r="E16" s="18">
        <f t="shared" si="4"/>
        <v>19.671640940700009</v>
      </c>
      <c r="F16" s="18">
        <f t="shared" si="4"/>
        <v>24.0683870624385</v>
      </c>
      <c r="G16" s="18">
        <f t="shared" si="4"/>
        <v>28.865310934472618</v>
      </c>
      <c r="H16" s="18">
        <f t="shared" si="4"/>
        <v>34.10649352454061</v>
      </c>
      <c r="I16" s="18"/>
      <c r="J16" s="18"/>
      <c r="K16" s="27"/>
    </row>
    <row r="17" spans="1:11" x14ac:dyDescent="0.3">
      <c r="A17" s="19" t="s">
        <v>19</v>
      </c>
      <c r="B17" s="20">
        <f t="shared" ref="B17:H17" si="5">B15-B16</f>
        <v>21.694358000000005</v>
      </c>
      <c r="C17" s="20">
        <f t="shared" si="5"/>
        <v>27.94028999999999</v>
      </c>
      <c r="D17" s="20">
        <f t="shared" si="5"/>
        <v>36.515861060000013</v>
      </c>
      <c r="E17" s="20">
        <f t="shared" si="5"/>
        <v>45.90049552830002</v>
      </c>
      <c r="F17" s="20">
        <f t="shared" si="5"/>
        <v>56.159569812356494</v>
      </c>
      <c r="G17" s="20">
        <f t="shared" si="5"/>
        <v>67.352392180436112</v>
      </c>
      <c r="H17" s="20">
        <f t="shared" si="5"/>
        <v>79.581818223928096</v>
      </c>
      <c r="I17" s="20"/>
      <c r="J17" s="20"/>
      <c r="K17" s="21"/>
    </row>
    <row r="18" spans="1:11" x14ac:dyDescent="0.3">
      <c r="A18" s="28" t="s">
        <v>20</v>
      </c>
      <c r="B18" s="18">
        <f t="shared" ref="B18:H18" si="6">B13</f>
        <v>0.20005999999999999</v>
      </c>
      <c r="C18" s="18">
        <f t="shared" si="6"/>
        <v>0.34286</v>
      </c>
      <c r="D18" s="18">
        <f t="shared" si="6"/>
        <v>0.24485999999999999</v>
      </c>
      <c r="E18" s="18">
        <f t="shared" si="6"/>
        <v>0.17485999999999999</v>
      </c>
      <c r="F18" s="18">
        <f t="shared" si="6"/>
        <v>0.12501999999999999</v>
      </c>
      <c r="G18" s="18">
        <f t="shared" si="6"/>
        <v>0.12487999999999999</v>
      </c>
      <c r="H18" s="18">
        <f t="shared" si="6"/>
        <v>0.12501999999999999</v>
      </c>
      <c r="I18" s="18"/>
      <c r="J18" s="18"/>
      <c r="K18" s="27"/>
    </row>
    <row r="19" spans="1:11" x14ac:dyDescent="0.3">
      <c r="A19" s="29" t="s">
        <v>62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/>
      <c r="J19" s="30"/>
      <c r="K19" s="31"/>
    </row>
    <row r="20" spans="1:11" x14ac:dyDescent="0.3">
      <c r="A20" s="62" t="s">
        <v>21</v>
      </c>
      <c r="B20" s="63">
        <f>B17+B18-B19</f>
        <v>21.894418000000005</v>
      </c>
      <c r="C20" s="63">
        <f t="shared" ref="C20:H20" si="7">C17+C18-C19</f>
        <v>28.283149999999992</v>
      </c>
      <c r="D20" s="63">
        <f t="shared" si="7"/>
        <v>36.760721060000016</v>
      </c>
      <c r="E20" s="63">
        <f t="shared" si="7"/>
        <v>46.075355528300022</v>
      </c>
      <c r="F20" s="63">
        <f t="shared" si="7"/>
        <v>56.284589812356494</v>
      </c>
      <c r="G20" s="63">
        <f t="shared" si="7"/>
        <v>67.477272180436117</v>
      </c>
      <c r="H20" s="63">
        <f t="shared" si="7"/>
        <v>79.706838223928102</v>
      </c>
      <c r="I20" s="63">
        <f>H20*(1+B25)/(B25-B26)</f>
        <v>1305.0507691290913</v>
      </c>
      <c r="J20" s="63"/>
      <c r="K20" s="64"/>
    </row>
    <row r="23" spans="1:11" x14ac:dyDescent="0.3">
      <c r="B23" s="15"/>
    </row>
    <row r="25" spans="1:11" x14ac:dyDescent="0.3">
      <c r="A25" s="1" t="s">
        <v>22</v>
      </c>
      <c r="B25" s="71">
        <v>9.7000000000000003E-2</v>
      </c>
    </row>
    <row r="26" spans="1:11" x14ac:dyDescent="0.3">
      <c r="A26" s="1" t="s">
        <v>80</v>
      </c>
      <c r="B26" s="72">
        <v>0.03</v>
      </c>
    </row>
    <row r="27" spans="1:11" x14ac:dyDescent="0.3">
      <c r="A27" s="1" t="s">
        <v>78</v>
      </c>
      <c r="B27" s="1" t="s">
        <v>5</v>
      </c>
    </row>
    <row r="28" spans="1:11" x14ac:dyDescent="0.3">
      <c r="A28" s="1" t="s">
        <v>79</v>
      </c>
      <c r="B28" s="1">
        <v>1</v>
      </c>
      <c r="C28" s="73">
        <f>B20/(1+B25)</f>
        <v>19.958448495897908</v>
      </c>
    </row>
    <row r="29" spans="1:11" x14ac:dyDescent="0.3">
      <c r="B29" s="1">
        <v>2</v>
      </c>
      <c r="C29" s="73">
        <f>C20/(1+B25)^2</f>
        <v>23.502524910483462</v>
      </c>
    </row>
    <row r="30" spans="1:11" x14ac:dyDescent="0.3">
      <c r="B30" s="1">
        <v>3</v>
      </c>
      <c r="C30" s="73">
        <f>D20/(1+B25)^3</f>
        <v>27.846084631682771</v>
      </c>
    </row>
    <row r="31" spans="1:11" x14ac:dyDescent="0.3">
      <c r="B31" s="1">
        <v>4</v>
      </c>
      <c r="C31" s="73">
        <f>E20/(1+B25)^4</f>
        <v>31.815751414403149</v>
      </c>
    </row>
    <row r="32" spans="1:11" x14ac:dyDescent="0.3">
      <c r="B32" s="1">
        <v>5</v>
      </c>
      <c r="C32" s="73">
        <f>F20/(1+B25)^5</f>
        <v>35.428793868082138</v>
      </c>
    </row>
    <row r="33" spans="1:4" x14ac:dyDescent="0.3">
      <c r="B33" s="1">
        <v>6</v>
      </c>
      <c r="C33" s="73">
        <f>G20/(1+B25)^6</f>
        <v>38.718431197068782</v>
      </c>
    </row>
    <row r="34" spans="1:4" x14ac:dyDescent="0.3">
      <c r="B34" s="1">
        <v>7</v>
      </c>
      <c r="C34" s="73">
        <f>H20/(1+B25)^7</f>
        <v>41.69166015881445</v>
      </c>
    </row>
    <row r="35" spans="1:4" x14ac:dyDescent="0.3">
      <c r="A35" s="1" t="s">
        <v>81</v>
      </c>
      <c r="C35" s="73">
        <f>I20/(1+B25)^7</f>
        <v>682.62315215252909</v>
      </c>
      <c r="D35" s="73"/>
    </row>
    <row r="36" spans="1:4" x14ac:dyDescent="0.3">
      <c r="A36" s="1" t="s">
        <v>78</v>
      </c>
      <c r="C36" s="73">
        <f>SUM(C28:C35)</f>
        <v>901.58484682896176</v>
      </c>
    </row>
  </sheetData>
  <mergeCells count="1">
    <mergeCell ref="A4:K4"/>
  </mergeCells>
  <pageMargins left="0.7" right="0.7" top="0.75" bottom="0.75" header="0.3" footer="0.3"/>
  <pageSetup paperSize="9" orientation="portrait" r:id="rId1"/>
  <ignoredErrors>
    <ignoredError sqref="B16:H16" formula="1"/>
    <ignoredError sqref="B13:H13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7D37-27F9-4498-8542-560953BAD954}">
  <dimension ref="A1:K24"/>
  <sheetViews>
    <sheetView zoomScale="95" workbookViewId="0">
      <selection activeCell="N30" sqref="N30"/>
    </sheetView>
  </sheetViews>
  <sheetFormatPr defaultColWidth="8.77734375" defaultRowHeight="14.4" x14ac:dyDescent="0.3"/>
  <cols>
    <col min="1" max="1" width="28.109375" style="1" customWidth="1"/>
    <col min="2" max="3" width="9.33203125" style="1" bestFit="1" customWidth="1"/>
    <col min="4" max="4" width="10.6640625" style="1" bestFit="1" customWidth="1"/>
    <col min="5" max="5" width="9.33203125" style="1" bestFit="1" customWidth="1"/>
    <col min="6" max="6" width="11.6640625" style="1" bestFit="1" customWidth="1"/>
    <col min="7" max="8" width="9.33203125" style="1" bestFit="1" customWidth="1"/>
    <col min="9" max="9" width="11.6640625" style="1" bestFit="1" customWidth="1"/>
    <col min="10" max="11" width="9.33203125" style="1" bestFit="1" customWidth="1"/>
    <col min="12" max="16384" width="8.77734375" style="1"/>
  </cols>
  <sheetData>
    <row r="1" spans="1:11" x14ac:dyDescent="0.3">
      <c r="A1" s="57" t="s">
        <v>66</v>
      </c>
      <c r="B1" s="58">
        <v>2023</v>
      </c>
      <c r="C1" s="58">
        <v>2024</v>
      </c>
      <c r="D1" s="58">
        <v>2025</v>
      </c>
      <c r="E1" s="58">
        <v>2026</v>
      </c>
      <c r="F1" s="58">
        <v>2027</v>
      </c>
      <c r="G1" s="58">
        <v>2028</v>
      </c>
      <c r="H1" s="58">
        <v>2029</v>
      </c>
      <c r="I1" s="98"/>
      <c r="J1" s="98"/>
      <c r="K1" s="99"/>
    </row>
    <row r="2" spans="1:11" x14ac:dyDescent="0.3">
      <c r="A2" s="59"/>
      <c r="B2" s="60" t="s">
        <v>26</v>
      </c>
      <c r="C2" s="60" t="s">
        <v>26</v>
      </c>
      <c r="D2" s="60" t="s">
        <v>26</v>
      </c>
      <c r="E2" s="60" t="s">
        <v>26</v>
      </c>
      <c r="F2" s="60" t="s">
        <v>26</v>
      </c>
      <c r="G2" s="60" t="s">
        <v>26</v>
      </c>
      <c r="H2" s="60" t="s">
        <v>26</v>
      </c>
      <c r="I2" s="94"/>
      <c r="J2" s="94"/>
      <c r="K2" s="94"/>
    </row>
    <row r="3" spans="1:11" x14ac:dyDescent="0.3">
      <c r="A3" s="48" t="s">
        <v>27</v>
      </c>
      <c r="B3" s="49"/>
      <c r="C3" s="49"/>
      <c r="D3" s="49"/>
      <c r="E3" s="49"/>
      <c r="F3" s="50"/>
      <c r="G3" s="50"/>
      <c r="H3" s="50"/>
      <c r="I3" s="2"/>
      <c r="J3" s="2"/>
      <c r="K3" s="2"/>
    </row>
    <row r="4" spans="1:11" x14ac:dyDescent="0.3">
      <c r="A4" s="48" t="s">
        <v>28</v>
      </c>
      <c r="B4" s="49"/>
      <c r="C4" s="49"/>
      <c r="D4" s="49"/>
      <c r="E4" s="49"/>
      <c r="F4" s="50"/>
      <c r="G4" s="50"/>
      <c r="H4" s="50"/>
      <c r="I4" s="2"/>
      <c r="J4" s="2"/>
      <c r="K4" s="2"/>
    </row>
    <row r="5" spans="1:11" x14ac:dyDescent="0.3">
      <c r="A5" s="51" t="s">
        <v>29</v>
      </c>
      <c r="B5" s="52">
        <f>B24-B13</f>
        <v>26.5</v>
      </c>
      <c r="C5" s="52">
        <f t="shared" ref="C5:H5" si="0">C24-C13</f>
        <v>17.358689999999999</v>
      </c>
      <c r="D5" s="52">
        <f t="shared" si="0"/>
        <v>18.163439375000003</v>
      </c>
      <c r="E5" s="52">
        <f t="shared" si="0"/>
        <v>19.162462210937502</v>
      </c>
      <c r="F5" s="52">
        <f t="shared" si="0"/>
        <v>20.142039004277343</v>
      </c>
      <c r="G5" s="52">
        <f t="shared" si="0"/>
        <v>21.252488512430226</v>
      </c>
      <c r="H5" s="52">
        <f t="shared" si="0"/>
        <v>22.432706236095175</v>
      </c>
      <c r="I5" s="95"/>
      <c r="J5" s="95"/>
      <c r="K5" s="95"/>
    </row>
    <row r="6" spans="1:11" x14ac:dyDescent="0.3">
      <c r="A6" s="48" t="s">
        <v>30</v>
      </c>
      <c r="B6" s="53">
        <f>B5</f>
        <v>26.5</v>
      </c>
      <c r="C6" s="53">
        <f t="shared" ref="C6:H6" si="1">C5</f>
        <v>17.358689999999999</v>
      </c>
      <c r="D6" s="53">
        <f t="shared" si="1"/>
        <v>18.163439375000003</v>
      </c>
      <c r="E6" s="53">
        <f t="shared" si="1"/>
        <v>19.162462210937502</v>
      </c>
      <c r="F6" s="53">
        <f t="shared" si="1"/>
        <v>20.142039004277343</v>
      </c>
      <c r="G6" s="53">
        <f t="shared" si="1"/>
        <v>21.252488512430226</v>
      </c>
      <c r="H6" s="53">
        <f t="shared" si="1"/>
        <v>22.432706236095175</v>
      </c>
      <c r="I6" s="96"/>
      <c r="J6" s="96"/>
      <c r="K6" s="96"/>
    </row>
    <row r="7" spans="1:11" x14ac:dyDescent="0.3">
      <c r="A7" s="48" t="s">
        <v>31</v>
      </c>
      <c r="B7" s="52"/>
      <c r="C7" s="52"/>
      <c r="D7" s="52"/>
      <c r="E7" s="52"/>
      <c r="F7" s="52"/>
      <c r="G7" s="52"/>
      <c r="H7" s="52"/>
      <c r="I7" s="95"/>
      <c r="J7" s="95"/>
      <c r="K7" s="95"/>
    </row>
    <row r="8" spans="1:11" x14ac:dyDescent="0.3">
      <c r="A8" s="51" t="s">
        <v>32</v>
      </c>
      <c r="B8" s="52">
        <v>0</v>
      </c>
      <c r="C8" s="52">
        <v>10</v>
      </c>
      <c r="D8" s="52">
        <f t="shared" ref="D8:H8" si="2">C8</f>
        <v>10</v>
      </c>
      <c r="E8" s="52">
        <f t="shared" si="2"/>
        <v>10</v>
      </c>
      <c r="F8" s="52">
        <f t="shared" si="2"/>
        <v>10</v>
      </c>
      <c r="G8" s="52">
        <f t="shared" si="2"/>
        <v>10</v>
      </c>
      <c r="H8" s="52">
        <f t="shared" si="2"/>
        <v>10</v>
      </c>
      <c r="I8" s="95"/>
      <c r="J8" s="95"/>
      <c r="K8" s="95"/>
    </row>
    <row r="9" spans="1:11" x14ac:dyDescent="0.3">
      <c r="A9" s="54" t="s">
        <v>33</v>
      </c>
      <c r="B9" s="55">
        <f>B8</f>
        <v>0</v>
      </c>
      <c r="C9" s="55">
        <f t="shared" ref="C9:H9" si="3">C8</f>
        <v>10</v>
      </c>
      <c r="D9" s="55">
        <f t="shared" si="3"/>
        <v>10</v>
      </c>
      <c r="E9" s="55">
        <f t="shared" si="3"/>
        <v>10</v>
      </c>
      <c r="F9" s="55">
        <f t="shared" si="3"/>
        <v>10</v>
      </c>
      <c r="G9" s="55">
        <f t="shared" si="3"/>
        <v>10</v>
      </c>
      <c r="H9" s="55">
        <f t="shared" si="3"/>
        <v>10</v>
      </c>
      <c r="I9" s="96"/>
      <c r="J9" s="96"/>
      <c r="K9" s="96"/>
    </row>
    <row r="10" spans="1:11" x14ac:dyDescent="0.3">
      <c r="A10" s="48" t="s">
        <v>34</v>
      </c>
      <c r="B10" s="52"/>
      <c r="C10" s="52"/>
      <c r="D10" s="52"/>
      <c r="E10" s="52"/>
      <c r="F10" s="56"/>
      <c r="G10" s="56"/>
      <c r="H10" s="56"/>
      <c r="I10" s="97"/>
      <c r="J10" s="97"/>
      <c r="K10" s="97"/>
    </row>
    <row r="11" spans="1:11" x14ac:dyDescent="0.3">
      <c r="A11" s="51" t="s">
        <v>35</v>
      </c>
      <c r="B11" s="52">
        <v>3</v>
      </c>
      <c r="C11" s="52">
        <f>B11*(1+'Cash Flows and Tentative Val.'!$B$1)</f>
        <v>3.165</v>
      </c>
      <c r="D11" s="52">
        <f>C11*(1+'Cash Flows and Tentative Val.'!$B$1)</f>
        <v>3.3390749999999998</v>
      </c>
      <c r="E11" s="52">
        <f>D11*(1+'Cash Flows and Tentative Val.'!$B$1)</f>
        <v>3.5227241249999994</v>
      </c>
      <c r="F11" s="52">
        <f>E11*(1+'Cash Flows and Tentative Val.'!$B$1*2)</f>
        <v>3.9102237787499998</v>
      </c>
      <c r="G11" s="52">
        <f>F11*(1+'Cash Flows and Tentative Val.'!$B$1*2)</f>
        <v>4.3403483944125005</v>
      </c>
      <c r="H11" s="52">
        <f>G11*(1+'Cash Flows and Tentative Val.'!$B$1*2)</f>
        <v>4.8177867177978762</v>
      </c>
      <c r="I11" s="95"/>
      <c r="J11" s="95"/>
      <c r="K11" s="95"/>
    </row>
    <row r="12" spans="1:11" x14ac:dyDescent="0.3">
      <c r="A12" s="54" t="s">
        <v>36</v>
      </c>
      <c r="B12" s="55">
        <v>3</v>
      </c>
      <c r="C12" s="55">
        <f t="shared" ref="C12:H12" si="4">C11</f>
        <v>3.165</v>
      </c>
      <c r="D12" s="55">
        <f t="shared" si="4"/>
        <v>3.3390749999999998</v>
      </c>
      <c r="E12" s="55">
        <f t="shared" si="4"/>
        <v>3.5227241249999994</v>
      </c>
      <c r="F12" s="55">
        <f t="shared" si="4"/>
        <v>3.9102237787499998</v>
      </c>
      <c r="G12" s="55">
        <f t="shared" si="4"/>
        <v>4.3403483944125005</v>
      </c>
      <c r="H12" s="55">
        <f t="shared" si="4"/>
        <v>4.8177867177978762</v>
      </c>
      <c r="I12" s="96"/>
      <c r="J12" s="96"/>
      <c r="K12" s="96"/>
    </row>
    <row r="13" spans="1:11" x14ac:dyDescent="0.3">
      <c r="A13" s="48" t="s">
        <v>37</v>
      </c>
      <c r="B13" s="53">
        <f t="shared" ref="B13:H13" si="5">B9+B12</f>
        <v>3</v>
      </c>
      <c r="C13" s="53">
        <f t="shared" si="5"/>
        <v>13.164999999999999</v>
      </c>
      <c r="D13" s="53">
        <f t="shared" si="5"/>
        <v>13.339074999999999</v>
      </c>
      <c r="E13" s="53">
        <f t="shared" si="5"/>
        <v>13.522724125</v>
      </c>
      <c r="F13" s="53">
        <f t="shared" si="5"/>
        <v>13.91022377875</v>
      </c>
      <c r="G13" s="53">
        <f t="shared" si="5"/>
        <v>14.340348394412501</v>
      </c>
      <c r="H13" s="53">
        <f t="shared" si="5"/>
        <v>14.817786717797876</v>
      </c>
      <c r="I13" s="96"/>
      <c r="J13" s="96"/>
      <c r="K13" s="96"/>
    </row>
    <row r="14" spans="1:11" x14ac:dyDescent="0.3">
      <c r="A14" s="48" t="s">
        <v>38</v>
      </c>
      <c r="B14" s="52"/>
      <c r="C14" s="52"/>
      <c r="D14" s="52"/>
      <c r="E14" s="52"/>
      <c r="F14" s="56"/>
      <c r="G14" s="56"/>
      <c r="H14" s="56"/>
      <c r="I14" s="97"/>
      <c r="J14" s="97"/>
      <c r="K14" s="97"/>
    </row>
    <row r="15" spans="1:11" x14ac:dyDescent="0.3">
      <c r="A15" s="48" t="s">
        <v>39</v>
      </c>
      <c r="B15" s="52"/>
      <c r="C15" s="52"/>
      <c r="D15" s="52"/>
      <c r="E15" s="52"/>
      <c r="F15" s="56"/>
      <c r="G15" s="56"/>
      <c r="H15" s="56"/>
      <c r="I15" s="97"/>
      <c r="J15" s="97"/>
      <c r="K15" s="97"/>
    </row>
    <row r="16" spans="1:11" x14ac:dyDescent="0.3">
      <c r="A16" s="51" t="s">
        <v>41</v>
      </c>
      <c r="B16" s="52">
        <v>10</v>
      </c>
      <c r="C16" s="52">
        <f>B18-'Income Statement'!B15-C17</f>
        <v>13.799939999999999</v>
      </c>
      <c r="D16" s="52">
        <f>C18-'Income Statement'!C15-D17</f>
        <v>13.457079999999999</v>
      </c>
      <c r="E16" s="52">
        <f>D18-'Income Statement'!D15-E17</f>
        <v>13.21222</v>
      </c>
      <c r="F16" s="52">
        <f>E18-'Income Statement'!E15-F17</f>
        <v>13.03736</v>
      </c>
      <c r="G16" s="52">
        <f>F18-'Income Statement'!F15-G17</f>
        <v>12.91234</v>
      </c>
      <c r="H16" s="52">
        <f>G18-'Income Statement'!G15-H17</f>
        <v>12.787460000000001</v>
      </c>
      <c r="I16" s="95"/>
      <c r="J16" s="95"/>
      <c r="K16" s="95"/>
    </row>
    <row r="17" spans="1:11" x14ac:dyDescent="0.3">
      <c r="A17" s="51" t="s">
        <v>40</v>
      </c>
      <c r="B17" s="52">
        <v>4</v>
      </c>
      <c r="C17" s="52">
        <v>0</v>
      </c>
      <c r="D17" s="52">
        <v>0</v>
      </c>
      <c r="E17" s="52">
        <v>0</v>
      </c>
      <c r="F17" s="52">
        <v>0</v>
      </c>
      <c r="G17" s="52">
        <v>0</v>
      </c>
      <c r="H17" s="52">
        <v>0</v>
      </c>
      <c r="I17" s="95"/>
      <c r="J17" s="95"/>
      <c r="K17" s="95"/>
    </row>
    <row r="18" spans="1:11" x14ac:dyDescent="0.3">
      <c r="A18" s="54" t="s">
        <v>42</v>
      </c>
      <c r="B18" s="55">
        <f>B16+B17</f>
        <v>14</v>
      </c>
      <c r="C18" s="55">
        <f t="shared" ref="C18:H18" si="6">C16+C17</f>
        <v>13.799939999999999</v>
      </c>
      <c r="D18" s="55">
        <f t="shared" si="6"/>
        <v>13.457079999999999</v>
      </c>
      <c r="E18" s="55">
        <f t="shared" si="6"/>
        <v>13.21222</v>
      </c>
      <c r="F18" s="55">
        <f t="shared" si="6"/>
        <v>13.03736</v>
      </c>
      <c r="G18" s="55">
        <f t="shared" si="6"/>
        <v>12.91234</v>
      </c>
      <c r="H18" s="55">
        <f t="shared" si="6"/>
        <v>12.787460000000001</v>
      </c>
      <c r="I18" s="96"/>
      <c r="J18" s="96"/>
      <c r="K18" s="96"/>
    </row>
    <row r="19" spans="1:11" x14ac:dyDescent="0.3">
      <c r="A19" s="48" t="s">
        <v>43</v>
      </c>
      <c r="B19" s="52"/>
      <c r="C19" s="52"/>
      <c r="D19" s="52"/>
      <c r="E19" s="52"/>
      <c r="F19" s="56"/>
      <c r="G19" s="56"/>
      <c r="H19" s="56"/>
      <c r="I19" s="97"/>
      <c r="J19" s="97"/>
      <c r="K19" s="97"/>
    </row>
    <row r="20" spans="1:11" x14ac:dyDescent="0.3">
      <c r="A20" s="51" t="s">
        <v>44</v>
      </c>
      <c r="B20" s="52">
        <v>12</v>
      </c>
      <c r="C20" s="52">
        <f>B20*(1+'Cash Flows and Tentative Val.'!$B$1*1.5)</f>
        <v>12.99</v>
      </c>
      <c r="D20" s="52">
        <f>C20*(1+'Cash Flows and Tentative Val.'!$B$1*1.5)</f>
        <v>14.061675000000001</v>
      </c>
      <c r="E20" s="52">
        <f>D20*(1+'Cash Flows and Tentative Val.'!$B$1*1.5)</f>
        <v>15.221763187500001</v>
      </c>
      <c r="F20" s="52">
        <f>E20*(1+'Cash Flows and Tentative Val.'!$B$1*1.5)</f>
        <v>16.477558650468751</v>
      </c>
      <c r="G20" s="52">
        <f>F20*(1+'Cash Flows and Tentative Val.'!$B$1*1.5)</f>
        <v>17.836957239132424</v>
      </c>
      <c r="H20" s="52">
        <f>G20*(1+'Cash Flows and Tentative Val.'!$B$1*1.5)</f>
        <v>19.30850621136085</v>
      </c>
      <c r="I20" s="95"/>
      <c r="J20" s="95"/>
      <c r="K20" s="95"/>
    </row>
    <row r="21" spans="1:11" x14ac:dyDescent="0.3">
      <c r="A21" s="51" t="s">
        <v>45</v>
      </c>
      <c r="B21" s="52">
        <v>1.5</v>
      </c>
      <c r="C21" s="52">
        <f>B21*(1+'Cash Flows and Tentative Val.'!$B$1*1.5)</f>
        <v>1.62375</v>
      </c>
      <c r="D21" s="52">
        <f>C21*(1+'Cash Flows and Tentative Val.'!$B$1*1.5)</f>
        <v>1.7577093750000001</v>
      </c>
      <c r="E21" s="52">
        <f>D21*(1+'Cash Flows and Tentative Val.'!$B$1*1.5)</f>
        <v>1.9027203984375001</v>
      </c>
      <c r="F21" s="52">
        <f>E21*(1+'Cash Flows and Tentative Val.'!$B$1*1.5)</f>
        <v>2.0596948313085939</v>
      </c>
      <c r="G21" s="52">
        <f>F21*(1+'Cash Flows and Tentative Val.'!$B$1*1.5)</f>
        <v>2.229619654891553</v>
      </c>
      <c r="H21" s="52">
        <f>G21*(1+'Cash Flows and Tentative Val.'!$B$1+0.02)</f>
        <v>2.3968411290084193</v>
      </c>
      <c r="I21" s="95"/>
      <c r="J21" s="95"/>
      <c r="K21" s="95"/>
    </row>
    <row r="22" spans="1:11" x14ac:dyDescent="0.3">
      <c r="A22" s="51" t="s">
        <v>46</v>
      </c>
      <c r="B22" s="52">
        <v>2</v>
      </c>
      <c r="C22" s="52">
        <f>B22*(1+'Cash Flows and Tentative Val.'!$B$1)</f>
        <v>2.11</v>
      </c>
      <c r="D22" s="52">
        <f>C22*(1+'Cash Flows and Tentative Val.'!$B$1)</f>
        <v>2.2260499999999999</v>
      </c>
      <c r="E22" s="52">
        <f>D22*(1+'Cash Flows and Tentative Val.'!$B$1)</f>
        <v>2.3484827499999996</v>
      </c>
      <c r="F22" s="52">
        <f>E22*(1+'Cash Flows and Tentative Val.'!$B$1)</f>
        <v>2.4776493012499996</v>
      </c>
      <c r="G22" s="52">
        <f>F22*(1+'Cash Flows and Tentative Val.'!$B$1)</f>
        <v>2.6139200128187494</v>
      </c>
      <c r="H22" s="52">
        <f>G22*(1+'Cash Flows and Tentative Val.'!$B$1)</f>
        <v>2.7576856135237806</v>
      </c>
      <c r="I22" s="95"/>
      <c r="J22" s="95"/>
      <c r="K22" s="95"/>
    </row>
    <row r="23" spans="1:11" x14ac:dyDescent="0.3">
      <c r="A23" s="48" t="s">
        <v>47</v>
      </c>
      <c r="B23" s="53">
        <f>SUM(B20:B22)</f>
        <v>15.5</v>
      </c>
      <c r="C23" s="53">
        <f t="shared" ref="C23:H23" si="7">SUM(C20:C22)</f>
        <v>16.723749999999999</v>
      </c>
      <c r="D23" s="53">
        <f t="shared" si="7"/>
        <v>18.045434375000003</v>
      </c>
      <c r="E23" s="53">
        <f t="shared" si="7"/>
        <v>19.4729663359375</v>
      </c>
      <c r="F23" s="53">
        <f t="shared" si="7"/>
        <v>21.014902783027345</v>
      </c>
      <c r="G23" s="53">
        <f t="shared" si="7"/>
        <v>22.680496906842727</v>
      </c>
      <c r="H23" s="53">
        <f t="shared" si="7"/>
        <v>24.463032953893048</v>
      </c>
      <c r="I23" s="96"/>
      <c r="J23" s="96"/>
      <c r="K23" s="96"/>
    </row>
    <row r="24" spans="1:11" x14ac:dyDescent="0.3">
      <c r="A24" s="54" t="s">
        <v>48</v>
      </c>
      <c r="B24" s="55">
        <f>B23+B18</f>
        <v>29.5</v>
      </c>
      <c r="C24" s="55">
        <f t="shared" ref="C24:H24" si="8">C23+C18</f>
        <v>30.523689999999998</v>
      </c>
      <c r="D24" s="55">
        <f t="shared" si="8"/>
        <v>31.502514375000004</v>
      </c>
      <c r="E24" s="55">
        <f t="shared" si="8"/>
        <v>32.685186335937502</v>
      </c>
      <c r="F24" s="55">
        <f t="shared" si="8"/>
        <v>34.052262783027345</v>
      </c>
      <c r="G24" s="55">
        <f t="shared" si="8"/>
        <v>35.592836906842727</v>
      </c>
      <c r="H24" s="55">
        <f t="shared" si="8"/>
        <v>37.250492953893051</v>
      </c>
      <c r="I24" s="96"/>
      <c r="J24" s="96"/>
      <c r="K24" s="96"/>
    </row>
  </sheetData>
  <phoneticPr fontId="5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Statement</vt:lpstr>
      <vt:lpstr>Investments</vt:lpstr>
      <vt:lpstr>Cash Flows and Tentative Val.</vt:lpstr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Kumar</dc:creator>
  <cp:lastModifiedBy>AYUSH YADAV</cp:lastModifiedBy>
  <dcterms:created xsi:type="dcterms:W3CDTF">2023-03-24T09:42:40Z</dcterms:created>
  <dcterms:modified xsi:type="dcterms:W3CDTF">2023-04-17T18:25:14Z</dcterms:modified>
</cp:coreProperties>
</file>