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Anush\OneDrive\Desktop\"/>
    </mc:Choice>
  </mc:AlternateContent>
  <xr:revisionPtr revIDLastSave="0" documentId="8_{A267B2FA-2AB5-4165-B2DC-72387C92A2DD}" xr6:coauthVersionLast="47" xr6:coauthVersionMax="47" xr10:uidLastSave="{00000000-0000-0000-0000-000000000000}"/>
  <bookViews>
    <workbookView xWindow="-108" yWindow="-108" windowWidth="23256" windowHeight="12456" activeTab="4" xr2:uid="{392EFF70-ACB7-421B-89C0-5F82ADAC724E}"/>
  </bookViews>
  <sheets>
    <sheet name="Input Sheet" sheetId="1" r:id="rId1"/>
    <sheet name="Calculations" sheetId="2" r:id="rId2"/>
    <sheet name="Reinforcement Drawings" sheetId="3" r:id="rId3"/>
    <sheet name="Reinforcement details" sheetId="5" r:id="rId4"/>
    <sheet name="IS Tables" sheetId="4" r:id="rId5"/>
  </sheets>
  <externalReferences>
    <externalReference r:id="rId6"/>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3" l="1"/>
  <c r="F171" i="2"/>
  <c r="G184" i="2"/>
  <c r="I40" i="3"/>
  <c r="H37" i="5"/>
  <c r="H31" i="5"/>
  <c r="H23" i="5"/>
  <c r="H30" i="5" s="1"/>
  <c r="E32" i="3"/>
  <c r="G32" i="3"/>
  <c r="D178" i="2"/>
  <c r="E50" i="3" s="1"/>
  <c r="Q174" i="2"/>
  <c r="O174" i="2"/>
  <c r="G165" i="2"/>
  <c r="F161" i="2"/>
  <c r="E51" i="3" l="1"/>
  <c r="S174" i="2"/>
  <c r="I176" i="2" s="1"/>
  <c r="O228" i="4"/>
  <c r="O227" i="4"/>
  <c r="N227" i="4"/>
  <c r="O226" i="4"/>
  <c r="N226" i="4"/>
  <c r="O225" i="4"/>
  <c r="N225" i="4"/>
  <c r="O224" i="4"/>
  <c r="N224" i="4"/>
  <c r="O223" i="4"/>
  <c r="N223" i="4"/>
  <c r="O222" i="4"/>
  <c r="N222" i="4"/>
  <c r="O221" i="4"/>
  <c r="N221" i="4"/>
  <c r="O220" i="4"/>
  <c r="N220" i="4"/>
  <c r="O219" i="4"/>
  <c r="N219" i="4"/>
  <c r="O218" i="4"/>
  <c r="N218" i="4"/>
  <c r="O217" i="4"/>
  <c r="N217" i="4"/>
  <c r="O216" i="4"/>
  <c r="N216" i="4"/>
  <c r="O215" i="4"/>
  <c r="N215" i="4"/>
  <c r="O214" i="4"/>
  <c r="N214" i="4"/>
  <c r="O213" i="4"/>
  <c r="N213" i="4"/>
  <c r="O212" i="4"/>
  <c r="N212" i="4"/>
  <c r="O211" i="4"/>
  <c r="N211" i="4"/>
  <c r="O210" i="4"/>
  <c r="N210" i="4"/>
  <c r="O209" i="4"/>
  <c r="N209" i="4"/>
  <c r="O208" i="4"/>
  <c r="N208" i="4"/>
  <c r="O207" i="4"/>
  <c r="N207" i="4"/>
  <c r="O206" i="4"/>
  <c r="N206" i="4"/>
  <c r="O205" i="4"/>
  <c r="N205" i="4"/>
  <c r="O204" i="4"/>
  <c r="N204" i="4"/>
  <c r="O203" i="4"/>
  <c r="N203" i="4"/>
  <c r="O202" i="4"/>
  <c r="N202" i="4"/>
  <c r="O201" i="4"/>
  <c r="N201" i="4"/>
  <c r="O200" i="4"/>
  <c r="N200" i="4"/>
  <c r="O199" i="4"/>
  <c r="N199" i="4"/>
  <c r="O198" i="4"/>
  <c r="N198" i="4"/>
  <c r="O197" i="4"/>
  <c r="N197" i="4"/>
  <c r="O196" i="4"/>
  <c r="N196" i="4"/>
  <c r="O195" i="4"/>
  <c r="N195" i="4"/>
  <c r="O194" i="4"/>
  <c r="N194" i="4"/>
  <c r="O193" i="4"/>
  <c r="N193" i="4"/>
  <c r="O192" i="4"/>
  <c r="N192" i="4"/>
  <c r="O191" i="4"/>
  <c r="N191" i="4"/>
  <c r="O190" i="4"/>
  <c r="N190" i="4"/>
  <c r="O189" i="4"/>
  <c r="N189" i="4"/>
  <c r="O188" i="4"/>
  <c r="N188" i="4"/>
  <c r="O187" i="4"/>
  <c r="N187" i="4"/>
  <c r="O186" i="4"/>
  <c r="N186" i="4"/>
  <c r="O185" i="4"/>
  <c r="N185" i="4"/>
  <c r="O184" i="4"/>
  <c r="N184" i="4"/>
  <c r="O183" i="4"/>
  <c r="N183" i="4"/>
  <c r="O182" i="4"/>
  <c r="N182" i="4"/>
  <c r="O181" i="4"/>
  <c r="N181" i="4"/>
  <c r="O180" i="4"/>
  <c r="N180" i="4"/>
  <c r="O179" i="4"/>
  <c r="N179" i="4"/>
  <c r="O178" i="4"/>
  <c r="N178" i="4"/>
  <c r="O177" i="4"/>
  <c r="N177" i="4"/>
  <c r="O176" i="4"/>
  <c r="N176" i="4"/>
  <c r="O175" i="4"/>
  <c r="N175" i="4"/>
  <c r="O174" i="4"/>
  <c r="N174" i="4"/>
  <c r="O173" i="4"/>
  <c r="N173" i="4"/>
  <c r="O172" i="4"/>
  <c r="N172" i="4"/>
  <c r="O171" i="4"/>
  <c r="N171" i="4"/>
  <c r="O170" i="4"/>
  <c r="N170" i="4"/>
  <c r="O169" i="4"/>
  <c r="N169" i="4"/>
  <c r="O168" i="4"/>
  <c r="N168" i="4"/>
  <c r="O167" i="4"/>
  <c r="N167" i="4"/>
  <c r="O166" i="4"/>
  <c r="N166" i="4"/>
  <c r="O165" i="4"/>
  <c r="N165" i="4"/>
  <c r="O164" i="4"/>
  <c r="N164" i="4"/>
  <c r="O163" i="4"/>
  <c r="N163" i="4"/>
  <c r="O162" i="4"/>
  <c r="N162" i="4"/>
  <c r="O161" i="4"/>
  <c r="N161" i="4"/>
  <c r="O160" i="4"/>
  <c r="N160" i="4"/>
  <c r="O159" i="4"/>
  <c r="N159" i="4"/>
  <c r="O158" i="4"/>
  <c r="N158" i="4"/>
  <c r="O157" i="4"/>
  <c r="N157" i="4"/>
  <c r="O156" i="4"/>
  <c r="N156" i="4"/>
  <c r="O155" i="4"/>
  <c r="N155" i="4"/>
  <c r="O154" i="4"/>
  <c r="N154" i="4"/>
  <c r="O153" i="4"/>
  <c r="N153" i="4"/>
  <c r="O152" i="4"/>
  <c r="N152" i="4"/>
  <c r="O151" i="4"/>
  <c r="N151" i="4"/>
  <c r="O150" i="4"/>
  <c r="N150" i="4"/>
  <c r="O149" i="4"/>
  <c r="N149" i="4"/>
  <c r="O148" i="4"/>
  <c r="N148" i="4"/>
  <c r="O147" i="4"/>
  <c r="N147" i="4"/>
  <c r="O146" i="4"/>
  <c r="N146" i="4"/>
  <c r="O145" i="4"/>
  <c r="N145" i="4"/>
  <c r="O144" i="4"/>
  <c r="N144" i="4"/>
  <c r="O143" i="4"/>
  <c r="N143" i="4"/>
  <c r="O142" i="4"/>
  <c r="N142" i="4"/>
  <c r="O141" i="4"/>
  <c r="N141" i="4"/>
  <c r="O140" i="4"/>
  <c r="N140" i="4"/>
  <c r="O139" i="4"/>
  <c r="N139" i="4"/>
  <c r="O138" i="4"/>
  <c r="N138" i="4"/>
  <c r="O137" i="4"/>
  <c r="N137" i="4"/>
  <c r="O136" i="4"/>
  <c r="N136" i="4"/>
  <c r="O135" i="4"/>
  <c r="N135" i="4"/>
  <c r="O134" i="4"/>
  <c r="N134" i="4"/>
  <c r="O133" i="4"/>
  <c r="N133" i="4"/>
  <c r="O132" i="4"/>
  <c r="N132" i="4"/>
  <c r="O131" i="4"/>
  <c r="N131" i="4"/>
  <c r="O130" i="4"/>
  <c r="N130" i="4"/>
  <c r="O129" i="4"/>
  <c r="N129" i="4"/>
  <c r="O128" i="4"/>
  <c r="N128" i="4"/>
  <c r="O127" i="4"/>
  <c r="N127" i="4"/>
  <c r="O126" i="4"/>
  <c r="N126" i="4"/>
  <c r="O125" i="4"/>
  <c r="N125" i="4"/>
  <c r="O124" i="4"/>
  <c r="N124" i="4"/>
  <c r="O123" i="4"/>
  <c r="N123" i="4"/>
  <c r="O122" i="4"/>
  <c r="N122" i="4"/>
  <c r="O121" i="4"/>
  <c r="N121" i="4"/>
  <c r="O120" i="4"/>
  <c r="N120" i="4"/>
  <c r="O119" i="4"/>
  <c r="N119" i="4"/>
  <c r="O118" i="4"/>
  <c r="N118" i="4"/>
  <c r="O117" i="4"/>
  <c r="N117" i="4"/>
  <c r="O116" i="4"/>
  <c r="N116" i="4"/>
  <c r="O115" i="4"/>
  <c r="N115" i="4"/>
  <c r="O114" i="4"/>
  <c r="N114" i="4"/>
  <c r="O113" i="4"/>
  <c r="N113" i="4"/>
  <c r="O112" i="4"/>
  <c r="N112" i="4"/>
  <c r="O111" i="4"/>
  <c r="N111" i="4"/>
  <c r="O110" i="4"/>
  <c r="N110" i="4"/>
  <c r="O109" i="4"/>
  <c r="N109" i="4"/>
  <c r="O108" i="4"/>
  <c r="N108" i="4"/>
  <c r="O107" i="4"/>
  <c r="N107" i="4"/>
  <c r="O106" i="4"/>
  <c r="N106" i="4"/>
  <c r="O105" i="4"/>
  <c r="N105" i="4"/>
  <c r="O104" i="4"/>
  <c r="N104" i="4"/>
  <c r="O103" i="4"/>
  <c r="N103" i="4"/>
  <c r="O102" i="4"/>
  <c r="N102" i="4"/>
  <c r="O101" i="4"/>
  <c r="N101" i="4"/>
  <c r="O100" i="4"/>
  <c r="N100" i="4"/>
  <c r="O99" i="4"/>
  <c r="N99" i="4"/>
  <c r="O98" i="4"/>
  <c r="N98" i="4"/>
  <c r="O97" i="4"/>
  <c r="N97" i="4"/>
  <c r="O96" i="4"/>
  <c r="N96" i="4"/>
  <c r="O95" i="4"/>
  <c r="N95" i="4"/>
  <c r="O94" i="4"/>
  <c r="N94" i="4"/>
  <c r="O93" i="4"/>
  <c r="N93" i="4"/>
  <c r="O92" i="4"/>
  <c r="N92" i="4"/>
  <c r="O91" i="4"/>
  <c r="N91" i="4"/>
  <c r="O90" i="4"/>
  <c r="N90" i="4"/>
  <c r="O89" i="4"/>
  <c r="N89" i="4"/>
  <c r="O88" i="4"/>
  <c r="N88" i="4"/>
  <c r="O87" i="4"/>
  <c r="N87" i="4"/>
  <c r="O86" i="4"/>
  <c r="N86" i="4"/>
  <c r="O85" i="4"/>
  <c r="N85" i="4"/>
  <c r="O84" i="4"/>
  <c r="N84" i="4"/>
  <c r="O83" i="4"/>
  <c r="N83" i="4"/>
  <c r="O82" i="4"/>
  <c r="N82" i="4"/>
  <c r="O81" i="4"/>
  <c r="N81" i="4"/>
  <c r="O80" i="4"/>
  <c r="N80" i="4"/>
  <c r="O79" i="4"/>
  <c r="N79" i="4"/>
  <c r="O78" i="4"/>
  <c r="N78" i="4"/>
  <c r="O77" i="4"/>
  <c r="N77" i="4"/>
  <c r="O76" i="4"/>
  <c r="N76" i="4"/>
  <c r="O75" i="4"/>
  <c r="N75" i="4"/>
  <c r="O74" i="4"/>
  <c r="N74" i="4"/>
  <c r="O73" i="4"/>
  <c r="N73" i="4"/>
  <c r="O72" i="4"/>
  <c r="N72" i="4"/>
  <c r="O71" i="4"/>
  <c r="N71" i="4"/>
  <c r="O70" i="4"/>
  <c r="N70" i="4"/>
  <c r="O69" i="4"/>
  <c r="N69" i="4"/>
  <c r="O68" i="4"/>
  <c r="N68" i="4"/>
  <c r="O67" i="4"/>
  <c r="N67" i="4"/>
  <c r="O66" i="4"/>
  <c r="N66" i="4"/>
  <c r="O65" i="4"/>
  <c r="N65" i="4"/>
  <c r="O64" i="4"/>
  <c r="N64" i="4"/>
  <c r="O63" i="4"/>
  <c r="N63" i="4"/>
  <c r="O62" i="4"/>
  <c r="N62" i="4"/>
  <c r="O61" i="4"/>
  <c r="N61" i="4"/>
  <c r="O60" i="4"/>
  <c r="N60" i="4"/>
  <c r="O59" i="4"/>
  <c r="N59" i="4"/>
  <c r="O58" i="4"/>
  <c r="N58" i="4"/>
  <c r="O57" i="4"/>
  <c r="N57" i="4"/>
  <c r="O56" i="4"/>
  <c r="N56" i="4"/>
  <c r="O55" i="4"/>
  <c r="N55" i="4"/>
  <c r="O54" i="4"/>
  <c r="N54" i="4"/>
  <c r="O53" i="4"/>
  <c r="N53" i="4"/>
  <c r="O52" i="4"/>
  <c r="N52" i="4"/>
  <c r="O50" i="4"/>
  <c r="N50" i="4"/>
  <c r="Q36" i="4"/>
  <c r="N36" i="4"/>
  <c r="L36" i="4"/>
  <c r="Q35" i="4"/>
  <c r="N35" i="4"/>
  <c r="L35" i="4"/>
  <c r="Q34" i="4"/>
  <c r="N34" i="4"/>
  <c r="L34" i="4"/>
  <c r="Q33" i="4"/>
  <c r="N33" i="4"/>
  <c r="L33" i="4"/>
  <c r="Q32" i="4"/>
  <c r="N32" i="4"/>
  <c r="L32" i="4"/>
  <c r="Q31" i="4"/>
  <c r="N31" i="4"/>
  <c r="L31" i="4"/>
  <c r="Q30" i="4"/>
  <c r="N30" i="4"/>
  <c r="L30" i="4"/>
  <c r="Q29" i="4"/>
  <c r="N29" i="4"/>
  <c r="L29" i="4"/>
  <c r="N28" i="4"/>
  <c r="L28" i="4"/>
  <c r="B2" i="3"/>
  <c r="F8" i="2"/>
  <c r="M13" i="2" s="1"/>
  <c r="K5" i="2"/>
  <c r="E192" i="2" s="1"/>
  <c r="K192" i="2" s="1"/>
  <c r="O9" i="2"/>
  <c r="G87" i="2" s="1"/>
  <c r="I89" i="2" s="1"/>
  <c r="O11" i="2"/>
  <c r="S11" i="2" s="1"/>
  <c r="I76" i="2" s="1"/>
  <c r="E155" i="2"/>
  <c r="E150" i="2"/>
  <c r="I150" i="2"/>
  <c r="E145" i="2"/>
  <c r="D6" i="3" s="1"/>
  <c r="Q142" i="2"/>
  <c r="O142" i="2"/>
  <c r="D123" i="2"/>
  <c r="O123" i="2" s="1"/>
  <c r="D108" i="2"/>
  <c r="O108" i="2" s="1"/>
  <c r="G104" i="2"/>
  <c r="I106" i="2" s="1"/>
  <c r="Q91" i="2"/>
  <c r="I68" i="2"/>
  <c r="I51" i="2"/>
  <c r="G69" i="2"/>
  <c r="F10" i="2"/>
  <c r="E15" i="2" s="1"/>
  <c r="J16" i="2" s="1"/>
  <c r="F9" i="2"/>
  <c r="O8" i="2"/>
  <c r="M14" i="2" s="1"/>
  <c r="G7" i="2"/>
  <c r="K7" i="2" s="1"/>
  <c r="C13" i="1"/>
  <c r="F21" i="1"/>
  <c r="F22" i="1" s="1"/>
  <c r="O10" i="2" s="1"/>
  <c r="C22" i="1"/>
  <c r="C21" i="1"/>
  <c r="C23" i="1" l="1"/>
  <c r="C24" i="1" s="1"/>
  <c r="I5" i="2" s="1"/>
  <c r="M32" i="2" s="1"/>
  <c r="O32" i="2" s="1"/>
  <c r="I184" i="2"/>
  <c r="K184" i="2" s="1"/>
  <c r="C36" i="3"/>
  <c r="C30" i="3" s="1"/>
  <c r="C37" i="3"/>
  <c r="E101" i="2"/>
  <c r="I101" i="2" s="1"/>
  <c r="I104" i="2" s="1"/>
  <c r="I119" i="2" s="1"/>
  <c r="G136" i="2" s="1"/>
  <c r="Q123" i="2"/>
  <c r="S123" i="2" s="1"/>
  <c r="I125" i="2" s="1"/>
  <c r="S142" i="2"/>
  <c r="I144" i="2" s="1"/>
  <c r="I17" i="2"/>
  <c r="Q108" i="2"/>
  <c r="S108" i="2" s="1"/>
  <c r="I110" i="2" s="1"/>
  <c r="O152" i="2"/>
  <c r="K150" i="2"/>
  <c r="Q152" i="2"/>
  <c r="M15" i="2"/>
  <c r="E94" i="2"/>
  <c r="C5" i="3" s="1"/>
  <c r="G119" i="2"/>
  <c r="E14" i="2"/>
  <c r="K17" i="2" s="1"/>
  <c r="G19" i="2"/>
  <c r="K29" i="2"/>
  <c r="O91" i="2"/>
  <c r="S91" i="2" s="1"/>
  <c r="I93" i="2" s="1"/>
  <c r="O111" i="2"/>
  <c r="E126" i="2"/>
  <c r="D16" i="3" s="1"/>
  <c r="M25" i="2"/>
  <c r="E26" i="2" s="1"/>
  <c r="M29" i="2"/>
  <c r="F23" i="1"/>
  <c r="F24" i="1" s="1"/>
  <c r="I13" i="3" l="1"/>
  <c r="C25" i="1"/>
  <c r="G5" i="2" s="1"/>
  <c r="S152" i="2"/>
  <c r="I154" i="2" s="1"/>
  <c r="M61" i="2"/>
  <c r="M72" i="2" s="1"/>
  <c r="O192" i="2"/>
  <c r="L113" i="2"/>
  <c r="D10" i="3"/>
  <c r="I22" i="2"/>
  <c r="R129" i="2"/>
  <c r="I165" i="2"/>
  <c r="K76" i="2"/>
  <c r="E23" i="3"/>
  <c r="K154" i="2"/>
  <c r="G42" i="5"/>
  <c r="O101" i="2"/>
  <c r="E131" i="2"/>
  <c r="D13" i="3" s="1"/>
  <c r="G16" i="2"/>
  <c r="G17" i="2"/>
  <c r="I36" i="2"/>
  <c r="O49" i="2"/>
  <c r="O53" i="2" s="1"/>
  <c r="E136" i="2"/>
  <c r="I121" i="2"/>
  <c r="E83" i="2"/>
  <c r="O29" i="2"/>
  <c r="Q29" i="2" s="1"/>
  <c r="M56" i="2" s="1"/>
  <c r="I95" i="2"/>
  <c r="Q26" i="2"/>
  <c r="M76" i="2"/>
  <c r="O76" i="2" s="1"/>
  <c r="F25" i="1"/>
  <c r="M154" i="2" l="1"/>
  <c r="Q154" i="2" s="1"/>
  <c r="I155" i="2" s="1"/>
  <c r="G43" i="5" s="1"/>
  <c r="H50" i="3"/>
  <c r="E187" i="2"/>
  <c r="L187" i="2"/>
  <c r="M192" i="2"/>
  <c r="R192" i="2" s="1"/>
  <c r="I195" i="2" s="1"/>
  <c r="H134" i="2"/>
  <c r="G14" i="5"/>
  <c r="O112" i="2"/>
  <c r="M58" i="2"/>
  <c r="M73" i="2" s="1"/>
  <c r="I40" i="2"/>
  <c r="M30" i="2"/>
  <c r="O30" i="2" s="1"/>
  <c r="O35" i="2" s="1"/>
  <c r="I49" i="2" s="1"/>
  <c r="I53" i="2" s="1"/>
  <c r="K56" i="2" s="1"/>
  <c r="O56" i="2" s="1"/>
  <c r="G86" i="2" s="1"/>
  <c r="G22" i="2"/>
  <c r="K22" i="2" s="1"/>
  <c r="L22" i="2" s="1"/>
  <c r="E161" i="2" s="1"/>
  <c r="K6" i="2"/>
  <c r="J72" i="2"/>
  <c r="K58" i="2"/>
  <c r="M16" i="2"/>
  <c r="E37" i="3" l="1"/>
  <c r="E36" i="3"/>
  <c r="C23" i="2"/>
  <c r="D161" i="2"/>
  <c r="K40" i="2"/>
  <c r="I42" i="2"/>
  <c r="K42" i="2" s="1"/>
  <c r="O42" i="2" s="1"/>
  <c r="E135" i="2"/>
  <c r="G37" i="5"/>
  <c r="K19" i="2"/>
  <c r="G18" i="2"/>
  <c r="M18" i="2"/>
  <c r="I173" i="2" s="1"/>
  <c r="K61" i="2"/>
  <c r="Q72" i="2"/>
  <c r="G10" i="5" s="1"/>
  <c r="J73" i="2"/>
  <c r="Q73" i="2" s="1"/>
  <c r="G117" i="2"/>
  <c r="O58" i="2"/>
  <c r="O61" i="2" s="1"/>
  <c r="G118" i="2" l="1"/>
  <c r="G30" i="5"/>
  <c r="N117" i="2"/>
  <c r="G11" i="5"/>
  <c r="O40" i="2"/>
  <c r="L40" i="2"/>
  <c r="I87" i="2"/>
  <c r="I19" i="2"/>
  <c r="M19" i="2" s="1"/>
  <c r="N102" i="2"/>
  <c r="K103" i="2" s="1"/>
  <c r="I105" i="2" s="1"/>
  <c r="K105" i="2" s="1"/>
  <c r="K86" i="2"/>
  <c r="I88" i="2" s="1"/>
  <c r="K88" i="2" s="1"/>
  <c r="R58" i="2"/>
  <c r="R61" i="2"/>
  <c r="G68" i="2" l="1"/>
  <c r="G169" i="2"/>
  <c r="I107" i="2"/>
  <c r="G25" i="5"/>
  <c r="I90" i="2"/>
  <c r="G19" i="5"/>
  <c r="K118" i="2"/>
  <c r="I120" i="2" s="1"/>
  <c r="K120" i="2" s="1"/>
  <c r="G31" i="5"/>
  <c r="O41" i="2"/>
  <c r="Q40" i="2" s="1"/>
  <c r="G48" i="2" s="1"/>
  <c r="O43" i="2"/>
  <c r="Q42" i="2" s="1"/>
  <c r="O48" i="2" s="1"/>
  <c r="R63" i="2"/>
  <c r="I122" i="2" l="1"/>
  <c r="G33" i="5"/>
  <c r="E102" i="2"/>
  <c r="G67" i="2"/>
  <c r="K67" i="2" s="1"/>
  <c r="F5" i="5" s="1"/>
  <c r="G103" i="2" l="1"/>
  <c r="G23" i="5"/>
  <c r="E69" i="2"/>
  <c r="I69" i="2" s="1"/>
  <c r="G84" i="2"/>
  <c r="L186" i="2" l="1"/>
  <c r="E186" i="2"/>
  <c r="K165" i="2"/>
  <c r="N165" i="2" s="1"/>
  <c r="G168" i="2" s="1"/>
  <c r="I7" i="3"/>
  <c r="I19" i="3" s="1"/>
  <c r="F7" i="5"/>
  <c r="Q69" i="2"/>
  <c r="I84" i="2"/>
  <c r="K84" i="2" s="1"/>
  <c r="M137" i="2"/>
  <c r="Q137" i="2" s="1"/>
  <c r="E189" i="2" l="1"/>
  <c r="F190" i="2" s="1"/>
  <c r="G195" i="2" s="1"/>
  <c r="G196" i="2" s="1"/>
  <c r="F198" i="2" s="1"/>
  <c r="C23" i="3"/>
  <c r="H23" i="3" s="1"/>
  <c r="G172" i="2"/>
  <c r="N168" i="2"/>
  <c r="M86" i="2"/>
  <c r="G17" i="5"/>
  <c r="K87" i="2"/>
  <c r="K104" i="2" s="1"/>
  <c r="K119" i="2" s="1"/>
  <c r="I136" i="2" s="1"/>
  <c r="K135" i="2" s="1"/>
  <c r="G38" i="5" s="1"/>
  <c r="F6" i="5"/>
  <c r="M103" i="2"/>
  <c r="O139" i="2"/>
  <c r="I140" i="2" s="1"/>
  <c r="J141" i="2" s="1"/>
  <c r="K144" i="2" s="1"/>
  <c r="M144" i="2" s="1"/>
  <c r="Q144" i="2" s="1"/>
  <c r="I145" i="2" s="1"/>
  <c r="F6" i="3" s="1"/>
  <c r="H56" i="3" l="1"/>
  <c r="J168" i="2"/>
  <c r="O86" i="2"/>
  <c r="G90" i="2" s="1"/>
  <c r="K90" i="2" s="1"/>
  <c r="G39" i="5"/>
  <c r="M118" i="2"/>
  <c r="O118" i="2" s="1"/>
  <c r="O103" i="2"/>
  <c r="R171" i="2" l="1"/>
  <c r="K173" i="2" s="1"/>
  <c r="G173" i="2"/>
  <c r="G18" i="5"/>
  <c r="G107" i="2"/>
  <c r="K107" i="2" s="1"/>
  <c r="G24" i="5"/>
  <c r="G122" i="2"/>
  <c r="K122" i="2" s="1"/>
  <c r="G32" i="5"/>
  <c r="K93" i="2"/>
  <c r="M93" i="2" s="1"/>
  <c r="Q93" i="2" s="1"/>
  <c r="I94" i="2" s="1"/>
  <c r="G20" i="5"/>
  <c r="S111" i="2" l="1"/>
  <c r="E5" i="3"/>
  <c r="M172" i="2"/>
  <c r="K125" i="2"/>
  <c r="M125" i="2" s="1"/>
  <c r="Q125" i="2" s="1"/>
  <c r="I126" i="2" s="1"/>
  <c r="F16" i="3" s="1"/>
  <c r="G34" i="5"/>
  <c r="K110" i="2"/>
  <c r="M110" i="2" s="1"/>
  <c r="Q110" i="2" s="1"/>
  <c r="G26" i="5"/>
  <c r="K176" i="2" l="1"/>
  <c r="M176" i="2" s="1"/>
  <c r="O176" i="2" s="1"/>
  <c r="H178" i="2" s="1"/>
  <c r="G47" i="5" s="1"/>
  <c r="G46" i="5"/>
  <c r="S113" i="2"/>
  <c r="F10" i="3"/>
  <c r="I131" i="2"/>
  <c r="F13" i="3" s="1"/>
  <c r="G50" i="3" l="1"/>
  <c r="G51" i="3"/>
</calcChain>
</file>

<file path=xl/sharedStrings.xml><?xml version="1.0" encoding="utf-8"?>
<sst xmlns="http://schemas.openxmlformats.org/spreadsheetml/2006/main" count="820" uniqueCount="374">
  <si>
    <t>B=(Area/3)^0.5</t>
  </si>
  <si>
    <t>L=3*B</t>
  </si>
  <si>
    <t>m</t>
  </si>
  <si>
    <t>k</t>
  </si>
  <si>
    <t>DESIGN OF UNDERGROUND RCC WATER TANK</t>
  </si>
  <si>
    <t>Lever arm constant j</t>
  </si>
  <si>
    <t>Capacity of Tank (in L) Q</t>
  </si>
  <si>
    <t>Depth of tank H (m)</t>
  </si>
  <si>
    <t>Angle (in degrees)</t>
  </si>
  <si>
    <t>Breadth (m)</t>
  </si>
  <si>
    <t>Length (m)</t>
  </si>
  <si>
    <t>Tank size</t>
  </si>
  <si>
    <t>x</t>
  </si>
  <si>
    <t>ltr</t>
  </si>
  <si>
    <t>M</t>
  </si>
  <si>
    <t>=</t>
  </si>
  <si>
    <t xml:space="preserve">Nominal cover </t>
  </si>
  <si>
    <t>mm</t>
  </si>
  <si>
    <t xml:space="preserve">For HYSD Bars </t>
  </si>
  <si>
    <t>Ö</t>
  </si>
  <si>
    <t>+</t>
  </si>
  <si>
    <t>Õ</t>
  </si>
  <si>
    <t>-</t>
  </si>
  <si>
    <t>/</t>
  </si>
  <si>
    <t>L / B</t>
  </si>
  <si>
    <t>\</t>
  </si>
  <si>
    <t>h</t>
  </si>
  <si>
    <t>Thus top</t>
  </si>
  <si>
    <t xml:space="preserve">m height of walls will be bend horizontally while the bottom </t>
  </si>
  <si>
    <t>m will bend as</t>
  </si>
  <si>
    <t xml:space="preserve">vertical cantilever . The bending moments for horizontal bending may be determined by moment </t>
  </si>
  <si>
    <t>distribution by considering tank as continuos frame of unit height at level of D.</t>
  </si>
  <si>
    <t>Water pressure p at point D is given by =p= w (H - h ) =</t>
  </si>
  <si>
    <t>(</t>
  </si>
  <si>
    <t>)=</t>
  </si>
  <si>
    <t>N-m</t>
  </si>
  <si>
    <t xml:space="preserve">The Fixed end moments for long wall </t>
  </si>
  <si>
    <t>P</t>
  </si>
  <si>
    <t xml:space="preserve">Fixed end moments for short wall </t>
  </si>
  <si>
    <t>A</t>
  </si>
  <si>
    <t>E</t>
  </si>
  <si>
    <t>B</t>
  </si>
  <si>
    <t>while the fixed end</t>
  </si>
  <si>
    <t>p</t>
  </si>
  <si>
    <t xml:space="preserve">both the walls to be the same, the stiffness of walls will be inversely proportional to these length. </t>
  </si>
  <si>
    <t>F</t>
  </si>
  <si>
    <t xml:space="preserve">   B</t>
  </si>
  <si>
    <t>Member</t>
  </si>
  <si>
    <t>Stiffness</t>
  </si>
  <si>
    <t>Relative stiffness</t>
  </si>
  <si>
    <t>Sum</t>
  </si>
  <si>
    <t>Distribution factor</t>
  </si>
  <si>
    <t>AE</t>
  </si>
  <si>
    <t>AF</t>
  </si>
  <si>
    <t>D</t>
  </si>
  <si>
    <t>L</t>
  </si>
  <si>
    <t>C</t>
  </si>
  <si>
    <t>Fig 1</t>
  </si>
  <si>
    <t>Joint</t>
  </si>
  <si>
    <t>Fixed end moments</t>
  </si>
  <si>
    <t>Balancing moments</t>
  </si>
  <si>
    <t>Final moments</t>
  </si>
  <si>
    <t>Hence moment at supports, Mf=</t>
  </si>
  <si>
    <t>N-m/m</t>
  </si>
  <si>
    <t>This support moment will cause tension at the water force.</t>
  </si>
  <si>
    <t>B.M. at the center long span =</t>
  </si>
  <si>
    <t>Mf</t>
  </si>
  <si>
    <t>"=</t>
  </si>
  <si>
    <t>2</t>
  </si>
  <si>
    <t>This bending moment cause tension at outer face.</t>
  </si>
  <si>
    <t>B.M. at the center short span =</t>
  </si>
  <si>
    <t xml:space="preserve">Required depth </t>
  </si>
  <si>
    <t>Provide total depth T=</t>
  </si>
  <si>
    <t xml:space="preserve">mm  </t>
  </si>
  <si>
    <t>N</t>
  </si>
  <si>
    <t>w H  x</t>
  </si>
  <si>
    <t>h2</t>
  </si>
  <si>
    <t>This will cause tension at water face.</t>
  </si>
  <si>
    <t>tension on water face). Similarly vertical section of unit height ( 1 m) of long wall, at its end, at the level of</t>
  </si>
  <si>
    <t>m above the base , where reinforcement is provided at the water face.</t>
  </si>
  <si>
    <t>x =</t>
  </si>
  <si>
    <t>T</t>
  </si>
  <si>
    <t>Mf - Pl x</t>
  </si>
  <si>
    <t>) -</t>
  </si>
  <si>
    <t>PL</t>
  </si>
  <si>
    <t>per meter height.</t>
  </si>
  <si>
    <t xml:space="preserve">using </t>
  </si>
  <si>
    <t xml:space="preserve">mm bars </t>
  </si>
  <si>
    <t>4 x100</t>
  </si>
  <si>
    <t>Spacing of  Bars =</t>
  </si>
  <si>
    <t xml:space="preserve">say </t>
  </si>
  <si>
    <t xml:space="preserve">Hence Provided </t>
  </si>
  <si>
    <t xml:space="preserve">mm c/c. The above reinforcement is to be provided at </t>
  </si>
  <si>
    <t xml:space="preserve">inner face,  near the corners, and at a height </t>
  </si>
  <si>
    <t>m above the base. For other height the above spacing</t>
  </si>
  <si>
    <t xml:space="preserve"> may be varied, since bending moment will reduce.</t>
  </si>
  <si>
    <t xml:space="preserve"> water face will be less than 225 mm,  permissible stress will be </t>
  </si>
  <si>
    <t>j</t>
  </si>
  <si>
    <t>R</t>
  </si>
  <si>
    <t>Design B.M.</t>
  </si>
  <si>
    <t>N-m per meter height.</t>
  </si>
  <si>
    <t>M - Pl x</t>
  </si>
  <si>
    <t xml:space="preserve">           This is very near to the reinforcement provided at ends.Hence provided </t>
  </si>
  <si>
    <t>m form ends.</t>
  </si>
  <si>
    <t xml:space="preserve">This reinforcement is to be provided at outer face. The additional </t>
  </si>
  <si>
    <t>mm c/c.</t>
  </si>
  <si>
    <t xml:space="preserve">mm f bars @ </t>
  </si>
  <si>
    <t>mm c/c at inner face near the ends of short span.</t>
  </si>
  <si>
    <t xml:space="preserve">The B.M. at the center of short walls cause tension at water face (unlikethat in the center of long walls where </t>
  </si>
  <si>
    <t xml:space="preserve">tension is produced at outer face ).since this B.M. is small, only nominal reinforcement is required. Similarlly, </t>
  </si>
  <si>
    <t xml:space="preserve">face will consist of </t>
  </si>
  <si>
    <t>max. cantilever moment=</t>
  </si>
  <si>
    <t>x(</t>
  </si>
  <si>
    <t>on the inner face and remaining area i.e.=</t>
  </si>
  <si>
    <t>Area of steel on each face =</t>
  </si>
  <si>
    <t>mm c/c on out side face, at bottom of long wall</t>
  </si>
  <si>
    <t>mm thick base slab.</t>
  </si>
  <si>
    <t xml:space="preserve"> % of nominal reinforcement</t>
  </si>
  <si>
    <t>area of steel =</t>
  </si>
  <si>
    <t>mm c/c in both direction , at top and bottom of base slab.</t>
  </si>
  <si>
    <t>DESIGN OF UNDERGROUND RECTANGULAR WATER TANK</t>
  </si>
  <si>
    <t>Tank capacity</t>
  </si>
  <si>
    <t>Saturated unit weight of soil</t>
  </si>
  <si>
    <t>Concrete</t>
  </si>
  <si>
    <t>Steel</t>
  </si>
  <si>
    <t>Concrete M</t>
  </si>
  <si>
    <t>Unit weight of concrete</t>
  </si>
  <si>
    <t>Tensile stess of steel</t>
  </si>
  <si>
    <t>Unit weight of water</t>
  </si>
  <si>
    <t xml:space="preserve">Weight of concrete </t>
  </si>
  <si>
    <t>×</t>
  </si>
  <si>
    <t>Design 
Constants</t>
  </si>
  <si>
    <t xml:space="preserve">Determination of Bending Moment for horizontal bending </t>
  </si>
  <si>
    <t xml:space="preserve">Here h = H/4 or 1 m whichever is greater </t>
  </si>
  <si>
    <t>Thus, we have the following table</t>
  </si>
  <si>
    <t>The moment distribution is carried out in the table below.</t>
  </si>
  <si>
    <t>DESIGN OF SECTION</t>
  </si>
  <si>
    <t xml:space="preserve">Considering bending effect alone, </t>
  </si>
  <si>
    <t>So,that available depth  =</t>
  </si>
  <si>
    <t>DETERMINATION OF PULLING FORCE</t>
  </si>
  <si>
    <t>CANTILEVER MOMENT</t>
  </si>
  <si>
    <t>Cantilever moment at the base, per unit length .</t>
  </si>
  <si>
    <t>REINFORCEMENT AT CORNERS OF LONG WALLS</t>
  </si>
  <si>
    <t xml:space="preserve"> -</t>
  </si>
  <si>
    <t>REINFORCEMENT AT MIDDLE OF LONG WALL</t>
  </si>
  <si>
    <t>Tension occurs at the outer face. However, since distance of corner of steel from</t>
  </si>
  <si>
    <t xml:space="preserve"> c/c.  Bend half the  bars  provided at ends, outwards.at distance L/4 =</t>
  </si>
  <si>
    <t xml:space="preserve">      are continued upto the end.</t>
  </si>
  <si>
    <t>Hence, provide</t>
  </si>
  <si>
    <t>we have to provide nominal reinforcement at outer face,. Hence bend half bars outward at distance B/4  =</t>
  </si>
  <si>
    <t xml:space="preserve">meter from each end, and continue remaning half throughout . Thus at the center of span, the reinforcement on each </t>
  </si>
  <si>
    <t>REINFORCEMENT FOR CANTILEVER MOMENT AND DISTRIBUTION REINFORCEMENT</t>
  </si>
  <si>
    <t xml:space="preserve">But minimum reinforcement in vertical direction </t>
  </si>
  <si>
    <t xml:space="preserve">Since half of this area of steel can reist cantilever moment, we will provide </t>
  </si>
  <si>
    <t>reinforcement.</t>
  </si>
  <si>
    <t>4 x 100</t>
  </si>
  <si>
    <t>DESIGN OF BASE SLAB</t>
  </si>
  <si>
    <t>mm c/c</t>
  </si>
  <si>
    <t>VALUES  OF  DESIGN  CONSTANTS</t>
  </si>
  <si>
    <r>
      <t xml:space="preserve">Permissible Bond  stress Table </t>
    </r>
    <r>
      <rPr>
        <b/>
        <sz val="11"/>
        <rFont val="Symbol"/>
        <family val="1"/>
        <charset val="2"/>
      </rPr>
      <t>t</t>
    </r>
    <r>
      <rPr>
        <b/>
        <vertAlign val="subscript"/>
        <sz val="11"/>
        <rFont val="Arial"/>
        <family val="2"/>
      </rPr>
      <t>bd</t>
    </r>
    <r>
      <rPr>
        <b/>
        <sz val="11"/>
        <rFont val="Arial"/>
        <family val="2"/>
      </rPr>
      <t xml:space="preserve"> </t>
    </r>
    <r>
      <rPr>
        <b/>
        <sz val="11"/>
        <rFont val="Arial"/>
        <family val="2"/>
      </rPr>
      <t>in concrete (IS : 456-2000)</t>
    </r>
  </si>
  <si>
    <t>Grade of concrete</t>
  </si>
  <si>
    <t>M-15</t>
  </si>
  <si>
    <t>M-20</t>
  </si>
  <si>
    <t>M-25</t>
  </si>
  <si>
    <t>M-30</t>
  </si>
  <si>
    <t>M-35</t>
  </si>
  <si>
    <t>M-40</t>
  </si>
  <si>
    <t>M-10</t>
  </si>
  <si>
    <t>M-45</t>
  </si>
  <si>
    <t>M-50</t>
  </si>
  <si>
    <t>Modular Ratio</t>
  </si>
  <si>
    <r>
      <t>t</t>
    </r>
    <r>
      <rPr>
        <vertAlign val="subscript"/>
        <sz val="10"/>
        <rFont val="Arial"/>
        <family val="2"/>
      </rPr>
      <t xml:space="preserve">bd   </t>
    </r>
    <r>
      <rPr>
        <sz val="10"/>
        <rFont val="Arial"/>
        <family val="2"/>
      </rPr>
      <t>(N / mm</t>
    </r>
    <r>
      <rPr>
        <vertAlign val="superscript"/>
        <sz val="10"/>
        <rFont val="Arial"/>
        <family val="2"/>
      </rPr>
      <t>2</t>
    </r>
    <r>
      <rPr>
        <sz val="10"/>
        <rFont val="Arial"/>
        <family val="2"/>
      </rPr>
      <t>)</t>
    </r>
  </si>
  <si>
    <t>--</t>
  </si>
  <si>
    <r>
      <t>s</t>
    </r>
    <r>
      <rPr>
        <vertAlign val="subscript"/>
        <sz val="10"/>
        <rFont val="Arial"/>
        <family val="2"/>
      </rPr>
      <t xml:space="preserve">cbc  </t>
    </r>
    <r>
      <rPr>
        <sz val="10"/>
        <rFont val="Arial"/>
        <family val="2"/>
      </rPr>
      <t>N/mm</t>
    </r>
    <r>
      <rPr>
        <vertAlign val="superscript"/>
        <sz val="10"/>
        <rFont val="Arial"/>
        <family val="2"/>
      </rPr>
      <t>2</t>
    </r>
  </si>
  <si>
    <r>
      <t xml:space="preserve">m </t>
    </r>
    <r>
      <rPr>
        <sz val="12"/>
        <rFont val="Symbol"/>
        <family val="1"/>
        <charset val="2"/>
      </rPr>
      <t>s</t>
    </r>
    <r>
      <rPr>
        <vertAlign val="subscript"/>
        <sz val="10"/>
        <rFont val="Arial"/>
        <family val="2"/>
      </rPr>
      <t>cbc</t>
    </r>
  </si>
  <si>
    <r>
      <t xml:space="preserve">(a) </t>
    </r>
    <r>
      <rPr>
        <sz val="10"/>
        <rFont val="Symbol"/>
        <family val="1"/>
        <charset val="2"/>
      </rPr>
      <t>s</t>
    </r>
    <r>
      <rPr>
        <vertAlign val="subscript"/>
        <sz val="10"/>
        <rFont val="Arial"/>
        <family val="2"/>
      </rPr>
      <t>st</t>
    </r>
    <r>
      <rPr>
        <sz val="11"/>
        <color theme="1"/>
        <rFont val="Calibri"/>
        <family val="2"/>
        <scheme val="minor"/>
      </rPr>
      <t xml:space="preserve"> = 140 N/mm2 (Fe 250)</t>
    </r>
  </si>
  <si>
    <r>
      <t>k</t>
    </r>
    <r>
      <rPr>
        <vertAlign val="subscript"/>
        <sz val="10"/>
        <rFont val="Arial"/>
        <family val="2"/>
      </rPr>
      <t>c</t>
    </r>
  </si>
  <si>
    <t>Development   Length  in tension</t>
  </si>
  <si>
    <r>
      <t>j</t>
    </r>
    <r>
      <rPr>
        <vertAlign val="subscript"/>
        <sz val="10"/>
        <rFont val="Arial"/>
        <family val="2"/>
      </rPr>
      <t>c</t>
    </r>
  </si>
  <si>
    <r>
      <t>R</t>
    </r>
    <r>
      <rPr>
        <vertAlign val="subscript"/>
        <sz val="10"/>
        <rFont val="Arial"/>
        <family val="2"/>
      </rPr>
      <t>c</t>
    </r>
  </si>
  <si>
    <t>Plain M.S. Bars</t>
  </si>
  <si>
    <t>H.Y.S.D. Bars</t>
  </si>
  <si>
    <r>
      <t>P</t>
    </r>
    <r>
      <rPr>
        <vertAlign val="subscript"/>
        <sz val="10"/>
        <rFont val="Arial"/>
        <family val="2"/>
      </rPr>
      <t>c</t>
    </r>
    <r>
      <rPr>
        <vertAlign val="subscript"/>
        <sz val="10"/>
        <rFont val="Arial"/>
        <family val="2"/>
      </rPr>
      <t xml:space="preserve"> </t>
    </r>
    <r>
      <rPr>
        <sz val="10"/>
        <rFont val="Arial"/>
        <family val="2"/>
      </rPr>
      <t>(%)</t>
    </r>
  </si>
  <si>
    <r>
      <t>t</t>
    </r>
    <r>
      <rPr>
        <vertAlign val="subscript"/>
        <sz val="10"/>
        <rFont val="Arial"/>
        <family val="2"/>
      </rPr>
      <t>bd</t>
    </r>
    <r>
      <rPr>
        <sz val="11"/>
        <color theme="1"/>
        <rFont val="Calibri"/>
        <family val="2"/>
        <scheme val="minor"/>
      </rPr>
      <t xml:space="preserve">   (N / mm2)</t>
    </r>
  </si>
  <si>
    <r>
      <t>k</t>
    </r>
    <r>
      <rPr>
        <vertAlign val="subscript"/>
        <sz val="10"/>
        <rFont val="Arial"/>
        <family val="2"/>
      </rPr>
      <t>d</t>
    </r>
    <r>
      <rPr>
        <sz val="11"/>
        <color theme="1"/>
        <rFont val="Calibri"/>
        <family val="2"/>
        <scheme val="minor"/>
      </rPr>
      <t xml:space="preserve"> = L</t>
    </r>
    <r>
      <rPr>
        <vertAlign val="subscript"/>
        <sz val="10"/>
        <rFont val="Arial"/>
        <family val="2"/>
      </rPr>
      <t>d</t>
    </r>
    <r>
      <rPr>
        <sz val="11"/>
        <color theme="1"/>
        <rFont val="Calibri"/>
        <family val="2"/>
        <scheme val="minor"/>
      </rPr>
      <t xml:space="preserve"> </t>
    </r>
    <r>
      <rPr>
        <sz val="10"/>
        <rFont val="Symbol"/>
        <family val="1"/>
        <charset val="2"/>
      </rPr>
      <t>F</t>
    </r>
  </si>
  <si>
    <r>
      <t xml:space="preserve">(b) </t>
    </r>
    <r>
      <rPr>
        <sz val="10"/>
        <rFont val="Symbol"/>
        <family val="1"/>
        <charset val="2"/>
      </rPr>
      <t>s</t>
    </r>
    <r>
      <rPr>
        <vertAlign val="subscript"/>
        <sz val="10"/>
        <rFont val="Arial"/>
        <family val="2"/>
      </rPr>
      <t>st</t>
    </r>
    <r>
      <rPr>
        <sz val="11"/>
        <color theme="1"/>
        <rFont val="Calibri"/>
        <family val="2"/>
        <scheme val="minor"/>
      </rPr>
      <t xml:space="preserve"> = 190 N/mm2 </t>
    </r>
  </si>
  <si>
    <t>M 15</t>
  </si>
  <si>
    <t>M 20</t>
  </si>
  <si>
    <t>M 25</t>
  </si>
  <si>
    <t>M 30</t>
  </si>
  <si>
    <r>
      <t xml:space="preserve">(c ) </t>
    </r>
    <r>
      <rPr>
        <sz val="10"/>
        <rFont val="Symbol"/>
        <family val="1"/>
        <charset val="2"/>
      </rPr>
      <t>s</t>
    </r>
    <r>
      <rPr>
        <vertAlign val="subscript"/>
        <sz val="10"/>
        <rFont val="Arial"/>
        <family val="2"/>
      </rPr>
      <t>st</t>
    </r>
    <r>
      <rPr>
        <sz val="11"/>
        <color theme="1"/>
        <rFont val="Calibri"/>
        <family val="2"/>
        <scheme val="minor"/>
      </rPr>
      <t xml:space="preserve"> = 230 N/mm2 (Fe 415)</t>
    </r>
  </si>
  <si>
    <t xml:space="preserve"> M 35</t>
  </si>
  <si>
    <t>M 40</t>
  </si>
  <si>
    <t>M 45</t>
  </si>
  <si>
    <t>M 50</t>
  </si>
  <si>
    <r>
      <t xml:space="preserve">(d) </t>
    </r>
    <r>
      <rPr>
        <sz val="10"/>
        <rFont val="Symbol"/>
        <family val="1"/>
        <charset val="2"/>
      </rPr>
      <t>s</t>
    </r>
    <r>
      <rPr>
        <vertAlign val="subscript"/>
        <sz val="10"/>
        <rFont val="Arial"/>
        <family val="2"/>
      </rPr>
      <t>st</t>
    </r>
    <r>
      <rPr>
        <sz val="11"/>
        <color theme="1"/>
        <rFont val="Calibri"/>
        <family val="2"/>
        <scheme val="minor"/>
      </rPr>
      <t xml:space="preserve"> = 275 N/mm2  (Fe 500)</t>
    </r>
  </si>
  <si>
    <r>
      <t xml:space="preserve">Permissible shear stress Table </t>
    </r>
    <r>
      <rPr>
        <b/>
        <sz val="11"/>
        <rFont val="Symbol"/>
        <family val="1"/>
        <charset val="2"/>
      </rPr>
      <t>t</t>
    </r>
    <r>
      <rPr>
        <b/>
        <vertAlign val="subscript"/>
        <sz val="11"/>
        <rFont val="Arial"/>
        <family val="2"/>
      </rPr>
      <t>v</t>
    </r>
    <r>
      <rPr>
        <b/>
        <sz val="11"/>
        <rFont val="Arial"/>
        <family val="2"/>
      </rPr>
      <t xml:space="preserve"> </t>
    </r>
    <r>
      <rPr>
        <b/>
        <sz val="11"/>
        <rFont val="Arial"/>
        <family val="2"/>
      </rPr>
      <t>in concrete (IS : 456-2000)</t>
    </r>
  </si>
  <si>
    <r>
      <t>100A</t>
    </r>
    <r>
      <rPr>
        <u/>
        <vertAlign val="subscript"/>
        <sz val="10"/>
        <rFont val="Arial"/>
        <family val="2"/>
      </rPr>
      <t>s</t>
    </r>
  </si>
  <si>
    <r>
      <t xml:space="preserve">Permissible shear stress </t>
    </r>
    <r>
      <rPr>
        <sz val="10"/>
        <rFont val="Arial"/>
        <family val="2"/>
      </rPr>
      <t xml:space="preserve"> </t>
    </r>
    <r>
      <rPr>
        <sz val="11"/>
        <color theme="1"/>
        <rFont val="Calibri"/>
        <family val="2"/>
        <scheme val="minor"/>
      </rPr>
      <t>in concrete  tv  N/mm</t>
    </r>
    <r>
      <rPr>
        <vertAlign val="superscript"/>
        <sz val="10"/>
        <rFont val="Arial"/>
        <family val="2"/>
      </rPr>
      <t>2</t>
    </r>
  </si>
  <si>
    <r>
      <t xml:space="preserve">Permissible  stress </t>
    </r>
    <r>
      <rPr>
        <b/>
        <sz val="11"/>
        <rFont val="Arial"/>
        <family val="2"/>
      </rPr>
      <t xml:space="preserve"> </t>
    </r>
    <r>
      <rPr>
        <b/>
        <sz val="11"/>
        <rFont val="Arial"/>
        <family val="2"/>
      </rPr>
      <t>in concrete (IS : 456-2000)</t>
    </r>
  </si>
  <si>
    <t>bd</t>
  </si>
  <si>
    <r>
      <t>Permission stress in compression (N/mm</t>
    </r>
    <r>
      <rPr>
        <vertAlign val="superscript"/>
        <sz val="10"/>
        <rFont val="Arial"/>
        <family val="2"/>
      </rPr>
      <t>2</t>
    </r>
    <r>
      <rPr>
        <sz val="11"/>
        <color theme="1"/>
        <rFont val="Calibri"/>
        <family val="2"/>
        <scheme val="minor"/>
      </rPr>
      <t>)</t>
    </r>
  </si>
  <si>
    <r>
      <t>Permissible stress in bond (Average) for plain bars in tention (N/mm</t>
    </r>
    <r>
      <rPr>
        <vertAlign val="superscript"/>
        <sz val="10"/>
        <rFont val="Arial"/>
        <family val="2"/>
      </rPr>
      <t>2</t>
    </r>
    <r>
      <rPr>
        <sz val="11"/>
        <color theme="1"/>
        <rFont val="Calibri"/>
        <family val="2"/>
        <scheme val="minor"/>
      </rPr>
      <t>)</t>
    </r>
  </si>
  <si>
    <r>
      <t>&lt;</t>
    </r>
    <r>
      <rPr>
        <sz val="10"/>
        <rFont val="Arial"/>
        <family val="2"/>
      </rPr>
      <t xml:space="preserve">  0.15</t>
    </r>
  </si>
  <si>
    <r>
      <t xml:space="preserve">Bending </t>
    </r>
    <r>
      <rPr>
        <sz val="8"/>
        <rFont val="Symbol"/>
        <family val="1"/>
        <charset val="2"/>
      </rPr>
      <t>a</t>
    </r>
    <r>
      <rPr>
        <vertAlign val="subscript"/>
        <sz val="8"/>
        <rFont val="Arial"/>
        <family val="2"/>
      </rPr>
      <t>cbc</t>
    </r>
  </si>
  <si>
    <r>
      <t>Direct (</t>
    </r>
    <r>
      <rPr>
        <sz val="11"/>
        <rFont val="Symbol"/>
        <family val="1"/>
        <charset val="2"/>
      </rPr>
      <t>a</t>
    </r>
    <r>
      <rPr>
        <vertAlign val="subscript"/>
        <sz val="10"/>
        <rFont val="Arial"/>
        <family val="2"/>
      </rPr>
      <t>cc</t>
    </r>
    <r>
      <rPr>
        <sz val="11"/>
        <color theme="1"/>
        <rFont val="Calibri"/>
        <family val="2"/>
        <scheme val="minor"/>
      </rPr>
      <t>)</t>
    </r>
  </si>
  <si>
    <t>(N/mm2)</t>
  </si>
  <si>
    <r>
      <t>Kg/m</t>
    </r>
    <r>
      <rPr>
        <vertAlign val="superscript"/>
        <sz val="10"/>
        <rFont val="Arial"/>
        <family val="2"/>
      </rPr>
      <t>2</t>
    </r>
  </si>
  <si>
    <r>
      <t>in kg/m</t>
    </r>
    <r>
      <rPr>
        <vertAlign val="superscript"/>
        <sz val="10"/>
        <rFont val="Arial"/>
        <family val="2"/>
      </rPr>
      <t>2</t>
    </r>
  </si>
  <si>
    <t>M  10</t>
  </si>
  <si>
    <t>M  15</t>
  </si>
  <si>
    <t>M  20</t>
  </si>
  <si>
    <t>M  25</t>
  </si>
  <si>
    <t>M  30</t>
  </si>
  <si>
    <t>M  35</t>
  </si>
  <si>
    <t>M  40</t>
  </si>
  <si>
    <t>M  45</t>
  </si>
  <si>
    <t>M  50</t>
  </si>
  <si>
    <t>3.00 and above</t>
  </si>
  <si>
    <r>
      <t xml:space="preserve">Maximum shear stress </t>
    </r>
    <r>
      <rPr>
        <sz val="11"/>
        <rFont val="Arial"/>
        <family val="2"/>
      </rPr>
      <t xml:space="preserve"> </t>
    </r>
    <r>
      <rPr>
        <sz val="11"/>
        <rFont val="Symbol"/>
        <family val="1"/>
        <charset val="2"/>
      </rPr>
      <t>t</t>
    </r>
    <r>
      <rPr>
        <vertAlign val="subscript"/>
        <sz val="11"/>
        <rFont val="Arial"/>
        <family val="2"/>
      </rPr>
      <t>c.m</t>
    </r>
    <r>
      <rPr>
        <b/>
        <vertAlign val="subscript"/>
        <sz val="11"/>
        <rFont val="Arial"/>
        <family val="2"/>
      </rPr>
      <t xml:space="preserve">ax </t>
    </r>
    <r>
      <rPr>
        <b/>
        <sz val="11"/>
        <rFont val="Arial"/>
        <family val="2"/>
      </rPr>
      <t xml:space="preserve"> </t>
    </r>
    <r>
      <rPr>
        <b/>
        <sz val="11"/>
        <rFont val="Arial"/>
        <family val="2"/>
      </rPr>
      <t>in concrete (IS : 456-2000)</t>
    </r>
  </si>
  <si>
    <r>
      <t>Permissible direct tensile stress</t>
    </r>
    <r>
      <rPr>
        <b/>
        <vertAlign val="subscript"/>
        <sz val="11"/>
        <rFont val="Arial"/>
        <family val="2"/>
      </rPr>
      <t xml:space="preserve"> </t>
    </r>
    <r>
      <rPr>
        <b/>
        <sz val="11"/>
        <rFont val="Arial"/>
        <family val="2"/>
      </rPr>
      <t xml:space="preserve"> </t>
    </r>
    <r>
      <rPr>
        <b/>
        <sz val="11"/>
        <rFont val="Arial"/>
        <family val="2"/>
      </rPr>
      <t>in concrete (IS : 456-2000)</t>
    </r>
  </si>
  <si>
    <r>
      <t>t</t>
    </r>
    <r>
      <rPr>
        <vertAlign val="subscript"/>
        <sz val="10"/>
        <rFont val="Arial"/>
        <family val="2"/>
      </rPr>
      <t>c</t>
    </r>
    <r>
      <rPr>
        <sz val="11"/>
        <color theme="1"/>
        <rFont val="Calibri"/>
        <family val="2"/>
        <scheme val="minor"/>
      </rPr>
      <t>.</t>
    </r>
    <r>
      <rPr>
        <vertAlign val="subscript"/>
        <sz val="10"/>
        <rFont val="Arial"/>
        <family val="2"/>
      </rPr>
      <t>max</t>
    </r>
    <r>
      <rPr>
        <sz val="11"/>
        <color theme="1"/>
        <rFont val="Calibri"/>
        <family val="2"/>
        <scheme val="minor"/>
      </rPr>
      <t xml:space="preserve"> </t>
    </r>
  </si>
  <si>
    <r>
      <t>s</t>
    </r>
    <r>
      <rPr>
        <vertAlign val="subscript"/>
        <sz val="10"/>
        <rFont val="Arial"/>
        <family val="2"/>
      </rPr>
      <t>ct</t>
    </r>
    <r>
      <rPr>
        <sz val="11"/>
        <color theme="1"/>
        <rFont val="Calibri"/>
        <family val="2"/>
        <scheme val="minor"/>
      </rPr>
      <t>.</t>
    </r>
    <r>
      <rPr>
        <vertAlign val="subscript"/>
        <sz val="10"/>
        <rFont val="Arial"/>
        <family val="2"/>
      </rPr>
      <t>max</t>
    </r>
    <r>
      <rPr>
        <sz val="11"/>
        <color theme="1"/>
        <rFont val="Calibri"/>
        <family val="2"/>
        <scheme val="minor"/>
      </rPr>
      <t xml:space="preserve"> </t>
    </r>
  </si>
  <si>
    <r>
      <t>Shear stress  t</t>
    </r>
    <r>
      <rPr>
        <vertAlign val="subscript"/>
        <sz val="10"/>
        <rFont val="Arial"/>
        <family val="2"/>
      </rPr>
      <t>c</t>
    </r>
  </si>
  <si>
    <t>Reiforcement   %</t>
  </si>
  <si>
    <r>
      <t>100A</t>
    </r>
    <r>
      <rPr>
        <b/>
        <u/>
        <vertAlign val="subscript"/>
        <sz val="10"/>
        <rFont val="Arial"/>
        <family val="2"/>
      </rPr>
      <t>s</t>
    </r>
  </si>
  <si>
    <t>Value of  angle</t>
  </si>
  <si>
    <t xml:space="preserve">Degree </t>
  </si>
  <si>
    <t>sin</t>
  </si>
  <si>
    <t xml:space="preserve">cos </t>
  </si>
  <si>
    <t>tan</t>
  </si>
  <si>
    <t>cot</t>
  </si>
  <si>
    <t xml:space="preserve">Available depth </t>
  </si>
  <si>
    <t>Total Depth</t>
  </si>
  <si>
    <t>Direct tension on Long wall</t>
  </si>
  <si>
    <t>Direct tension on short wall</t>
  </si>
  <si>
    <t>REINFORCEMENT FOR SHORT WALLS</t>
  </si>
  <si>
    <t>max. cantilever moment</t>
  </si>
  <si>
    <t xml:space="preserve">Spacing of  Bars </t>
  </si>
  <si>
    <t>REINFORCEMENT DETAILS</t>
  </si>
  <si>
    <t>Reinforcement details for short wall and long wall</t>
  </si>
  <si>
    <t>DESIGN OF ROOF SLAB</t>
  </si>
  <si>
    <t>Since, L/B =</t>
  </si>
  <si>
    <t>, top slab will be designed as one way slab.</t>
  </si>
  <si>
    <t xml:space="preserve"> </t>
  </si>
  <si>
    <t xml:space="preserve">= </t>
  </si>
  <si>
    <t>Bending 
moment</t>
  </si>
  <si>
    <t>*</t>
  </si>
  <si>
    <t>* (</t>
  </si>
  <si>
    <t>d  =</t>
  </si>
  <si>
    <t xml:space="preserve">Provide a total thickness of </t>
  </si>
  <si>
    <t xml:space="preserve">mm. Keeping a clear cover of </t>
  </si>
  <si>
    <t xml:space="preserve">mm and using </t>
  </si>
  <si>
    <t>mm.</t>
  </si>
  <si>
    <t xml:space="preserve">Spacing between 12 mm  Ø bars = </t>
  </si>
  <si>
    <t>mm =</t>
  </si>
  <si>
    <t>So, Provide</t>
  </si>
  <si>
    <t>mm  Ø bars</t>
  </si>
  <si>
    <t>@</t>
  </si>
  <si>
    <t>mm  c/c spacing in the roof slab.</t>
  </si>
  <si>
    <t>4 x  100</t>
  </si>
  <si>
    <t>Total =  2000 + 5000  =</t>
  </si>
  <si>
    <t xml:space="preserve">mm </t>
  </si>
  <si>
    <t>ROOF</t>
  </si>
  <si>
    <t>BASE SLAB</t>
  </si>
  <si>
    <t>mm Ø @</t>
  </si>
  <si>
    <r>
      <t>mm</t>
    </r>
    <r>
      <rPr>
        <sz val="10"/>
        <color rgb="FFC00000"/>
        <rFont val="Symbol"/>
        <family val="1"/>
        <charset val="2"/>
      </rPr>
      <t xml:space="preserve"> f </t>
    </r>
    <r>
      <rPr>
        <sz val="11"/>
        <color rgb="FFC00000"/>
        <rFont val="Calibri"/>
        <family val="2"/>
        <scheme val="minor"/>
      </rPr>
      <t>@</t>
    </r>
  </si>
  <si>
    <r>
      <t>mm</t>
    </r>
    <r>
      <rPr>
        <sz val="10"/>
        <color rgb="FFC00000"/>
        <rFont val="Symbol"/>
        <family val="1"/>
        <charset val="2"/>
      </rPr>
      <t xml:space="preserve"> f</t>
    </r>
    <r>
      <rPr>
        <sz val="11"/>
        <color rgb="FFC00000"/>
        <rFont val="Calibri"/>
        <family val="2"/>
        <scheme val="minor"/>
      </rPr>
      <t xml:space="preserve"> @</t>
    </r>
  </si>
  <si>
    <r>
      <t xml:space="preserve">mm </t>
    </r>
    <r>
      <rPr>
        <sz val="11"/>
        <color rgb="FFC00000"/>
        <rFont val="Calibri"/>
        <family val="2"/>
      </rPr>
      <t>Ø</t>
    </r>
    <r>
      <rPr>
        <sz val="11"/>
        <color rgb="FFC00000"/>
        <rFont val="Calibri"/>
        <family val="2"/>
        <scheme val="minor"/>
      </rPr>
      <t xml:space="preserve"> @</t>
    </r>
  </si>
  <si>
    <r>
      <t>A</t>
    </r>
    <r>
      <rPr>
        <vertAlign val="subscript"/>
        <sz val="11"/>
        <color theme="1"/>
        <rFont val="Calibri"/>
        <family val="2"/>
        <scheme val="minor"/>
      </rPr>
      <t>st</t>
    </r>
    <r>
      <rPr>
        <sz val="11"/>
        <color theme="1"/>
        <rFont val="Calibri"/>
        <family val="2"/>
        <scheme val="minor"/>
      </rPr>
      <t xml:space="preserve">  for B.M. </t>
    </r>
  </si>
  <si>
    <r>
      <t>A</t>
    </r>
    <r>
      <rPr>
        <vertAlign val="subscript"/>
        <sz val="11"/>
        <color theme="1"/>
        <rFont val="Calibri"/>
        <family val="2"/>
        <scheme val="minor"/>
      </rPr>
      <t>st</t>
    </r>
    <r>
      <rPr>
        <sz val="11"/>
        <color theme="1"/>
        <rFont val="Calibri"/>
        <family val="2"/>
        <scheme val="minor"/>
      </rPr>
      <t xml:space="preserve"> for pull</t>
    </r>
  </si>
  <si>
    <r>
      <t>Total A</t>
    </r>
    <r>
      <rPr>
        <vertAlign val="subscript"/>
        <sz val="11"/>
        <color theme="1"/>
        <rFont val="Calibri"/>
        <family val="2"/>
        <scheme val="minor"/>
      </rPr>
      <t>st</t>
    </r>
  </si>
  <si>
    <r>
      <t>A</t>
    </r>
    <r>
      <rPr>
        <vertAlign val="subscript"/>
        <sz val="11"/>
        <color theme="1"/>
        <rFont val="Calibri"/>
        <family val="2"/>
        <scheme val="minor"/>
      </rPr>
      <t xml:space="preserve">st </t>
    </r>
    <r>
      <rPr>
        <sz val="11"/>
        <color theme="1"/>
        <rFont val="Calibri"/>
        <family val="2"/>
        <scheme val="minor"/>
      </rPr>
      <t xml:space="preserve"> for B.M. </t>
    </r>
  </si>
  <si>
    <r>
      <t>Direct pull P</t>
    </r>
    <r>
      <rPr>
        <vertAlign val="subscript"/>
        <sz val="11"/>
        <color theme="1"/>
        <rFont val="Calibri"/>
        <family val="2"/>
        <scheme val="minor"/>
      </rPr>
      <t>u</t>
    </r>
    <r>
      <rPr>
        <sz val="11"/>
        <color theme="1"/>
        <rFont val="Calibri"/>
        <family val="2"/>
        <scheme val="minor"/>
      </rPr>
      <t xml:space="preserve"> </t>
    </r>
  </si>
  <si>
    <r>
      <t>A</t>
    </r>
    <r>
      <rPr>
        <vertAlign val="subscript"/>
        <sz val="11"/>
        <color theme="1"/>
        <rFont val="Calibri"/>
        <family val="2"/>
        <scheme val="minor"/>
      </rPr>
      <t>st</t>
    </r>
  </si>
  <si>
    <r>
      <t>Area of Steel A</t>
    </r>
    <r>
      <rPr>
        <vertAlign val="subscript"/>
        <sz val="11"/>
        <color theme="1"/>
        <rFont val="Calibri"/>
        <family val="2"/>
        <scheme val="minor"/>
      </rPr>
      <t>st</t>
    </r>
  </si>
  <si>
    <r>
      <t>mm</t>
    </r>
    <r>
      <rPr>
        <vertAlign val="superscript"/>
        <sz val="11"/>
        <color theme="1"/>
        <rFont val="Calibri"/>
        <family val="2"/>
        <scheme val="minor"/>
      </rPr>
      <t>2</t>
    </r>
  </si>
  <si>
    <r>
      <t>mm</t>
    </r>
    <r>
      <rPr>
        <vertAlign val="superscript"/>
        <sz val="11"/>
        <color theme="1"/>
        <rFont val="Calibri"/>
        <family val="2"/>
        <scheme val="minor"/>
      </rPr>
      <t>2</t>
    </r>
    <r>
      <rPr>
        <sz val="11"/>
        <color theme="1"/>
        <rFont val="Calibri"/>
        <family val="2"/>
        <scheme val="minor"/>
      </rPr>
      <t/>
    </r>
  </si>
  <si>
    <r>
      <t>Bending moment at the ends=M</t>
    </r>
    <r>
      <rPr>
        <vertAlign val="subscript"/>
        <sz val="11"/>
        <color theme="1"/>
        <rFont val="Calibri"/>
        <family val="2"/>
        <scheme val="minor"/>
      </rPr>
      <t>f</t>
    </r>
    <r>
      <rPr>
        <sz val="11"/>
        <color theme="1"/>
        <rFont val="Calibri"/>
        <family val="2"/>
        <scheme val="minor"/>
      </rPr>
      <t xml:space="preserve">   = </t>
    </r>
  </si>
  <si>
    <r>
      <t>Capacity of Tank (in m</t>
    </r>
    <r>
      <rPr>
        <vertAlign val="superscript"/>
        <sz val="12"/>
        <color rgb="FFC00000"/>
        <rFont val="Calibri"/>
        <family val="2"/>
        <scheme val="minor"/>
      </rPr>
      <t>3</t>
    </r>
    <r>
      <rPr>
        <sz val="12"/>
        <color rgb="FFC00000"/>
        <rFont val="Calibri"/>
        <family val="2"/>
        <scheme val="minor"/>
      </rPr>
      <t>) Q</t>
    </r>
  </si>
  <si>
    <r>
      <t>Unit weight of soil w_soil (kg/m</t>
    </r>
    <r>
      <rPr>
        <vertAlign val="superscript"/>
        <sz val="12"/>
        <color rgb="FFC00000"/>
        <rFont val="Calibri"/>
        <family val="2"/>
        <scheme val="minor"/>
      </rPr>
      <t>3</t>
    </r>
    <r>
      <rPr>
        <sz val="12"/>
        <color rgb="FFC00000"/>
        <rFont val="Calibri"/>
        <family val="2"/>
        <scheme val="minor"/>
      </rPr>
      <t>)</t>
    </r>
  </si>
  <si>
    <r>
      <t>Unit weight of water w_water (kg/m</t>
    </r>
    <r>
      <rPr>
        <vertAlign val="superscript"/>
        <sz val="12"/>
        <color rgb="FFC00000"/>
        <rFont val="Calibri"/>
        <family val="2"/>
        <scheme val="minor"/>
      </rPr>
      <t>3</t>
    </r>
    <r>
      <rPr>
        <sz val="12"/>
        <color rgb="FFC00000"/>
        <rFont val="Calibri"/>
        <family val="2"/>
        <scheme val="minor"/>
      </rPr>
      <t>)</t>
    </r>
  </si>
  <si>
    <r>
      <t>Characteristic compressive strength of concrete fck (N/mm</t>
    </r>
    <r>
      <rPr>
        <vertAlign val="superscript"/>
        <sz val="12"/>
        <color rgb="FFC00000"/>
        <rFont val="Calibri"/>
        <family val="2"/>
        <scheme val="minor"/>
      </rPr>
      <t>2</t>
    </r>
    <r>
      <rPr>
        <sz val="12"/>
        <color rgb="FFC00000"/>
        <rFont val="Calibri"/>
        <family val="2"/>
        <scheme val="minor"/>
      </rPr>
      <t>)</t>
    </r>
  </si>
  <si>
    <r>
      <t>σ</t>
    </r>
    <r>
      <rPr>
        <vertAlign val="subscript"/>
        <sz val="12"/>
        <color theme="1"/>
        <rFont val="Calibri"/>
        <family val="2"/>
      </rPr>
      <t>st</t>
    </r>
    <r>
      <rPr>
        <sz val="12"/>
        <color theme="1"/>
        <rFont val="Calibri"/>
        <family val="2"/>
      </rPr>
      <t xml:space="preserve"> (N/mm</t>
    </r>
    <r>
      <rPr>
        <vertAlign val="superscript"/>
        <sz val="12"/>
        <color theme="1"/>
        <rFont val="Calibri"/>
        <family val="2"/>
      </rPr>
      <t>2</t>
    </r>
    <r>
      <rPr>
        <sz val="12"/>
        <color theme="1"/>
        <rFont val="Calibri"/>
        <family val="2"/>
      </rPr>
      <t>)</t>
    </r>
  </si>
  <si>
    <r>
      <t>Pst_bending (kN/m</t>
    </r>
    <r>
      <rPr>
        <vertAlign val="superscript"/>
        <sz val="12"/>
        <color theme="1"/>
        <rFont val="Calibri"/>
        <family val="2"/>
        <scheme val="minor"/>
      </rPr>
      <t>2</t>
    </r>
    <r>
      <rPr>
        <sz val="12"/>
        <color theme="1"/>
        <rFont val="Calibri"/>
        <family val="2"/>
        <scheme val="minor"/>
      </rPr>
      <t>)</t>
    </r>
  </si>
  <si>
    <r>
      <t>σ</t>
    </r>
    <r>
      <rPr>
        <vertAlign val="subscript"/>
        <sz val="12"/>
        <color theme="1"/>
        <rFont val="Calibri"/>
        <family val="2"/>
        <scheme val="minor"/>
      </rPr>
      <t>cbc</t>
    </r>
    <r>
      <rPr>
        <sz val="12"/>
        <color theme="1"/>
        <rFont val="Calibri"/>
        <family val="2"/>
        <scheme val="minor"/>
      </rPr>
      <t xml:space="preserve"> (N/mm</t>
    </r>
    <r>
      <rPr>
        <vertAlign val="superscript"/>
        <sz val="12"/>
        <color theme="1"/>
        <rFont val="Calibri"/>
        <family val="2"/>
        <scheme val="minor"/>
      </rPr>
      <t>2</t>
    </r>
    <r>
      <rPr>
        <sz val="12"/>
        <color theme="1"/>
        <rFont val="Calibri"/>
        <family val="2"/>
        <scheme val="minor"/>
      </rPr>
      <t>)</t>
    </r>
  </si>
  <si>
    <r>
      <t>Pst_direct (kN/m</t>
    </r>
    <r>
      <rPr>
        <vertAlign val="superscript"/>
        <sz val="12"/>
        <color theme="1"/>
        <rFont val="Calibri"/>
        <family val="2"/>
        <scheme val="minor"/>
      </rPr>
      <t>2</t>
    </r>
    <r>
      <rPr>
        <sz val="12"/>
        <color theme="1"/>
        <rFont val="Calibri"/>
        <family val="2"/>
        <scheme val="minor"/>
      </rPr>
      <t>)</t>
    </r>
  </si>
  <si>
    <r>
      <t>Area of tank (m</t>
    </r>
    <r>
      <rPr>
        <vertAlign val="superscript"/>
        <sz val="12"/>
        <color theme="1"/>
        <rFont val="Calibri"/>
        <family val="2"/>
        <scheme val="minor"/>
      </rPr>
      <t>2</t>
    </r>
    <r>
      <rPr>
        <sz val="12"/>
        <color theme="1"/>
        <rFont val="Calibri"/>
        <family val="2"/>
        <scheme val="minor"/>
      </rPr>
      <t>)</t>
    </r>
  </si>
  <si>
    <r>
      <t>q</t>
    </r>
    <r>
      <rPr>
        <vertAlign val="subscript"/>
        <sz val="12"/>
        <color theme="1"/>
        <rFont val="Calibri"/>
        <family val="2"/>
        <scheme val="minor"/>
      </rPr>
      <t>crack</t>
    </r>
  </si>
  <si>
    <t>Weight of water above base slab =</t>
  </si>
  <si>
    <t xml:space="preserve">Self weight of tank = Weight of walls + Weight of roof + Weight of slab </t>
  </si>
  <si>
    <t xml:space="preserve">Weight of long wall = </t>
  </si>
  <si>
    <t>Weight of short wall =</t>
  </si>
  <si>
    <t>Weight of roof =</t>
  </si>
  <si>
    <t xml:space="preserve">Weight of Base Slab = </t>
  </si>
  <si>
    <t xml:space="preserve">* 103 N   </t>
  </si>
  <si>
    <t>t  =</t>
  </si>
  <si>
    <t>Self weight of tank =</t>
  </si>
  <si>
    <t>Total uplift
force</t>
  </si>
  <si>
    <t>Factor of Safety =</t>
  </si>
  <si>
    <t xml:space="preserve">                          =</t>
  </si>
  <si>
    <t>Factor of Safety about</t>
  </si>
  <si>
    <t>)</t>
  </si>
  <si>
    <t xml:space="preserve"> or greater should be adopted during the final design of water tank.</t>
  </si>
  <si>
    <t>FACTOR OF SAFETY</t>
  </si>
  <si>
    <t>Force applied
 by water    =</t>
  </si>
  <si>
    <t>This will cause tension at the water face.    \    Max. design B.M.</t>
  </si>
  <si>
    <t>mm F bar, @</t>
  </si>
  <si>
    <t>sst.j.d</t>
  </si>
  <si>
    <t>mm f bars</t>
  </si>
  <si>
    <t>mm f bars provided @</t>
  </si>
  <si>
    <r>
      <t>s</t>
    </r>
    <r>
      <rPr>
        <vertAlign val="subscript"/>
        <sz val="11"/>
        <rFont val="Calibri"/>
        <family val="2"/>
      </rPr>
      <t>s</t>
    </r>
  </si>
  <si>
    <r>
      <t xml:space="preserve"> mm</t>
    </r>
    <r>
      <rPr>
        <vertAlign val="superscript"/>
        <sz val="11"/>
        <color theme="1"/>
        <rFont val="Calibri"/>
        <family val="2"/>
      </rPr>
      <t>2</t>
    </r>
    <r>
      <rPr>
        <sz val="11"/>
        <color theme="1"/>
        <rFont val="Calibri"/>
        <family val="2"/>
      </rPr>
      <t>.</t>
    </r>
  </si>
  <si>
    <r>
      <t xml:space="preserve">) </t>
    </r>
    <r>
      <rPr>
        <vertAlign val="superscript"/>
        <sz val="11"/>
        <color theme="1"/>
        <rFont val="Calibri"/>
        <family val="2"/>
      </rPr>
      <t>2</t>
    </r>
  </si>
  <si>
    <r>
      <t>A</t>
    </r>
    <r>
      <rPr>
        <vertAlign val="subscript"/>
        <sz val="11"/>
        <color theme="1"/>
        <rFont val="Calibri"/>
        <family val="2"/>
      </rPr>
      <t>st</t>
    </r>
    <r>
      <rPr>
        <sz val="11"/>
        <color theme="1"/>
        <rFont val="Calibri"/>
        <family val="2"/>
      </rPr>
      <t xml:space="preserve"> =</t>
    </r>
  </si>
  <si>
    <r>
      <t>mm</t>
    </r>
    <r>
      <rPr>
        <vertAlign val="superscript"/>
        <sz val="11"/>
        <color theme="1"/>
        <rFont val="Calibri"/>
        <family val="2"/>
      </rPr>
      <t>2</t>
    </r>
  </si>
  <si>
    <r>
      <t>* 10</t>
    </r>
    <r>
      <rPr>
        <vertAlign val="superscript"/>
        <sz val="11"/>
        <color theme="1"/>
        <rFont val="Calibri"/>
        <family val="2"/>
      </rPr>
      <t>3</t>
    </r>
    <r>
      <rPr>
        <sz val="11"/>
        <color theme="1"/>
        <rFont val="Calibri"/>
        <family val="2"/>
      </rPr>
      <t xml:space="preserve"> N</t>
    </r>
  </si>
  <si>
    <r>
      <t>* 10</t>
    </r>
    <r>
      <rPr>
        <vertAlign val="superscript"/>
        <sz val="11"/>
        <color theme="1"/>
        <rFont val="Calibri"/>
        <family val="2"/>
      </rPr>
      <t>3</t>
    </r>
    <r>
      <rPr>
        <sz val="11"/>
        <color theme="1"/>
        <rFont val="Calibri"/>
        <family val="2"/>
      </rPr>
      <t xml:space="preserve"> N</t>
    </r>
    <r>
      <rPr>
        <vertAlign val="superscript"/>
        <sz val="11"/>
        <color theme="1"/>
        <rFont val="Calibri"/>
        <family val="2"/>
      </rPr>
      <t xml:space="preserve">   </t>
    </r>
  </si>
  <si>
    <r>
      <t>* 10</t>
    </r>
    <r>
      <rPr>
        <b/>
        <vertAlign val="superscript"/>
        <sz val="11"/>
        <color theme="1"/>
        <rFont val="Calibri"/>
        <family val="2"/>
      </rPr>
      <t>3</t>
    </r>
    <r>
      <rPr>
        <b/>
        <sz val="11"/>
        <color theme="1"/>
        <rFont val="Calibri"/>
        <family val="2"/>
      </rPr>
      <t xml:space="preserve"> N</t>
    </r>
  </si>
  <si>
    <r>
      <t>N/m</t>
    </r>
    <r>
      <rPr>
        <vertAlign val="superscript"/>
        <sz val="11"/>
        <color theme="1"/>
        <rFont val="Calibri"/>
        <family val="2"/>
      </rPr>
      <t>2</t>
    </r>
  </si>
  <si>
    <t xml:space="preserve">Since tank rests underground on soil , provide a </t>
  </si>
  <si>
    <t xml:space="preserve">Taking 1m length for calculation and </t>
  </si>
  <si>
    <r>
      <t>kN/m</t>
    </r>
    <r>
      <rPr>
        <vertAlign val="superscript"/>
        <sz val="11"/>
        <rFont val="Calibri"/>
        <family val="2"/>
      </rPr>
      <t>3</t>
    </r>
  </si>
  <si>
    <r>
      <t>N/m</t>
    </r>
    <r>
      <rPr>
        <vertAlign val="superscript"/>
        <sz val="11"/>
        <rFont val="Calibri"/>
        <family val="2"/>
      </rPr>
      <t>3</t>
    </r>
  </si>
  <si>
    <r>
      <t>f</t>
    </r>
    <r>
      <rPr>
        <b/>
        <vertAlign val="subscript"/>
        <sz val="11"/>
        <rFont val="Calibri"/>
        <family val="2"/>
      </rPr>
      <t>y</t>
    </r>
  </si>
  <si>
    <r>
      <t>N/mm</t>
    </r>
    <r>
      <rPr>
        <vertAlign val="superscript"/>
        <sz val="11"/>
        <rFont val="Calibri"/>
        <family val="2"/>
      </rPr>
      <t>2</t>
    </r>
  </si>
  <si>
    <r>
      <t>s</t>
    </r>
    <r>
      <rPr>
        <b/>
        <vertAlign val="subscript"/>
        <sz val="11"/>
        <rFont val="Calibri"/>
        <family val="2"/>
      </rPr>
      <t>cbc</t>
    </r>
  </si>
  <si>
    <r>
      <t>N/mm</t>
    </r>
    <r>
      <rPr>
        <vertAlign val="superscript"/>
        <sz val="11"/>
        <rFont val="Calibri"/>
        <family val="2"/>
      </rPr>
      <t>3</t>
    </r>
  </si>
  <si>
    <r>
      <t>s</t>
    </r>
    <r>
      <rPr>
        <vertAlign val="subscript"/>
        <sz val="11"/>
        <rFont val="Calibri"/>
        <family val="2"/>
      </rPr>
      <t>st</t>
    </r>
    <r>
      <rPr>
        <sz val="11"/>
        <rFont val="Calibri"/>
        <family val="2"/>
      </rPr>
      <t xml:space="preserve">  </t>
    </r>
  </si>
  <si>
    <r>
      <t>s</t>
    </r>
    <r>
      <rPr>
        <vertAlign val="subscript"/>
        <sz val="11"/>
        <rFont val="Calibri"/>
        <family val="2"/>
      </rPr>
      <t>cbc</t>
    </r>
    <r>
      <rPr>
        <sz val="11"/>
        <rFont val="Calibri"/>
        <family val="2"/>
      </rPr>
      <t xml:space="preserve"> </t>
    </r>
  </si>
  <si>
    <r>
      <t>PL</t>
    </r>
    <r>
      <rPr>
        <vertAlign val="superscript"/>
        <sz val="11"/>
        <rFont val="Calibri"/>
        <family val="2"/>
      </rPr>
      <t>2</t>
    </r>
  </si>
  <si>
    <r>
      <t>2</t>
    </r>
    <r>
      <rPr>
        <sz val="11"/>
        <rFont val="Calibri"/>
        <family val="2"/>
      </rPr>
      <t>'=</t>
    </r>
  </si>
  <si>
    <r>
      <t>L</t>
    </r>
    <r>
      <rPr>
        <vertAlign val="superscript"/>
        <sz val="11"/>
        <rFont val="Calibri"/>
        <family val="2"/>
      </rPr>
      <t>2</t>
    </r>
  </si>
  <si>
    <r>
      <t>PB</t>
    </r>
    <r>
      <rPr>
        <vertAlign val="superscript"/>
        <sz val="11"/>
        <rFont val="Calibri"/>
        <family val="2"/>
      </rPr>
      <t>2</t>
    </r>
  </si>
  <si>
    <r>
      <t>Refer fig 1. Consider quarter frame</t>
    </r>
    <r>
      <rPr>
        <i/>
        <sz val="11"/>
        <color indexed="10"/>
        <rFont val="Calibri"/>
        <family val="2"/>
      </rPr>
      <t xml:space="preserve"> FAE</t>
    </r>
    <r>
      <rPr>
        <sz val="11"/>
        <rFont val="Calibri"/>
        <family val="2"/>
      </rPr>
      <t xml:space="preserve"> with joint A rigid. Taking clock wise moment as positive and anticlock </t>
    </r>
  </si>
  <si>
    <r>
      <t>wise moment as negative, the fixed end moment M</t>
    </r>
    <r>
      <rPr>
        <vertAlign val="subscript"/>
        <sz val="11"/>
        <rFont val="Calibri"/>
        <family val="2"/>
      </rPr>
      <t>AF</t>
    </r>
    <r>
      <rPr>
        <sz val="11"/>
        <rFont val="Calibri"/>
        <family val="2"/>
      </rPr>
      <t xml:space="preserve"> for long wall will be </t>
    </r>
  </si>
  <si>
    <r>
      <t xml:space="preserve"> end moments </t>
    </r>
    <r>
      <rPr>
        <i/>
        <sz val="11"/>
        <color indexed="10"/>
        <rFont val="Calibri"/>
        <family val="2"/>
      </rPr>
      <t xml:space="preserve"> M</t>
    </r>
    <r>
      <rPr>
        <i/>
        <vertAlign val="subscript"/>
        <sz val="11"/>
        <color indexed="10"/>
        <rFont val="Calibri"/>
        <family val="2"/>
      </rPr>
      <t>AF</t>
    </r>
    <r>
      <rPr>
        <sz val="11"/>
        <rFont val="Calibri"/>
        <family val="2"/>
      </rPr>
      <t xml:space="preserve"> for short wall will be</t>
    </r>
  </si>
  <si>
    <r>
      <t xml:space="preserve">Considreing Area  </t>
    </r>
    <r>
      <rPr>
        <i/>
        <sz val="11"/>
        <color indexed="10"/>
        <rFont val="Calibri"/>
        <family val="2"/>
      </rPr>
      <t>A</t>
    </r>
    <r>
      <rPr>
        <sz val="11"/>
        <color theme="1"/>
        <rFont val="Calibri"/>
        <family val="2"/>
      </rPr>
      <t xml:space="preserve"> and moment of inertia </t>
    </r>
    <r>
      <rPr>
        <i/>
        <sz val="11"/>
        <color indexed="10"/>
        <rFont val="Calibri"/>
        <family val="2"/>
      </rPr>
      <t xml:space="preserve">l </t>
    </r>
    <r>
      <rPr>
        <sz val="11"/>
        <color theme="1"/>
        <rFont val="Calibri"/>
        <family val="2"/>
      </rPr>
      <t xml:space="preserve"> for </t>
    </r>
  </si>
  <si>
    <r>
      <t>p L</t>
    </r>
    <r>
      <rPr>
        <vertAlign val="superscript"/>
        <sz val="11"/>
        <rFont val="Calibri"/>
        <family val="2"/>
      </rPr>
      <t>2</t>
    </r>
  </si>
  <si>
    <r>
      <t>p B</t>
    </r>
    <r>
      <rPr>
        <vertAlign val="superscript"/>
        <sz val="11"/>
        <rFont val="Calibri"/>
        <family val="2"/>
      </rPr>
      <t>2</t>
    </r>
  </si>
  <si>
    <r>
      <t>Direct tension on short wall = P</t>
    </r>
    <r>
      <rPr>
        <vertAlign val="subscript"/>
        <sz val="11"/>
        <rFont val="Calibri"/>
        <family val="2"/>
      </rPr>
      <t>L</t>
    </r>
    <r>
      <rPr>
        <sz val="11"/>
        <rFont val="Calibri"/>
        <family val="2"/>
      </rPr>
      <t xml:space="preserve"> =  P x B/2 =</t>
    </r>
  </si>
  <si>
    <r>
      <t>reinforcement has to be provided for a net moment (M</t>
    </r>
    <r>
      <rPr>
        <vertAlign val="subscript"/>
        <sz val="11"/>
        <rFont val="Calibri"/>
        <family val="2"/>
      </rPr>
      <t>F</t>
    </r>
    <r>
      <rPr>
        <sz val="11"/>
        <rFont val="Calibri"/>
        <family val="2"/>
      </rPr>
      <t xml:space="preserve"> - Px ), where M</t>
    </r>
    <r>
      <rPr>
        <vertAlign val="subscript"/>
        <sz val="11"/>
        <rFont val="Calibri"/>
        <family val="2"/>
      </rPr>
      <t>f</t>
    </r>
    <r>
      <rPr>
        <sz val="11"/>
        <rFont val="Calibri"/>
        <family val="2"/>
      </rPr>
      <t xml:space="preserve"> is the moment at ends (causing </t>
    </r>
  </si>
  <si>
    <t>d -</t>
  </si>
  <si>
    <r>
      <t>A</t>
    </r>
    <r>
      <rPr>
        <vertAlign val="subscript"/>
        <sz val="11"/>
        <rFont val="Calibri"/>
        <family val="2"/>
      </rPr>
      <t>st</t>
    </r>
    <r>
      <rPr>
        <sz val="11"/>
        <rFont val="Calibri"/>
        <family val="2"/>
      </rPr>
      <t xml:space="preserve">  for B.M. </t>
    </r>
  </si>
  <si>
    <r>
      <t>mm</t>
    </r>
    <r>
      <rPr>
        <vertAlign val="superscript"/>
        <sz val="11"/>
        <rFont val="Calibri"/>
        <family val="2"/>
      </rPr>
      <t>2</t>
    </r>
  </si>
  <si>
    <r>
      <t>s</t>
    </r>
    <r>
      <rPr>
        <vertAlign val="subscript"/>
        <sz val="11"/>
        <rFont val="Calibri"/>
        <family val="2"/>
      </rPr>
      <t>st</t>
    </r>
    <r>
      <rPr>
        <sz val="11"/>
        <rFont val="Calibri"/>
        <family val="2"/>
      </rPr>
      <t>.j.d</t>
    </r>
  </si>
  <si>
    <r>
      <t>A</t>
    </r>
    <r>
      <rPr>
        <vertAlign val="subscript"/>
        <sz val="11"/>
        <rFont val="Calibri"/>
        <family val="2"/>
      </rPr>
      <t>st</t>
    </r>
    <r>
      <rPr>
        <sz val="11"/>
        <rFont val="Calibri"/>
        <family val="2"/>
      </rPr>
      <t xml:space="preserve"> for pull</t>
    </r>
  </si>
  <si>
    <r>
      <t>Total A</t>
    </r>
    <r>
      <rPr>
        <vertAlign val="subscript"/>
        <sz val="11"/>
        <rFont val="Calibri"/>
        <family val="2"/>
      </rPr>
      <t>st</t>
    </r>
  </si>
  <si>
    <r>
      <t>3.14xdia</t>
    </r>
    <r>
      <rPr>
        <vertAlign val="superscript"/>
        <sz val="11"/>
        <rFont val="Calibri"/>
        <family val="2"/>
      </rPr>
      <t>2</t>
    </r>
  </si>
  <si>
    <r>
      <t xml:space="preserve"> N/mm</t>
    </r>
    <r>
      <rPr>
        <vertAlign val="superscript"/>
        <sz val="11"/>
        <rFont val="Calibri"/>
        <family val="2"/>
      </rPr>
      <t>2</t>
    </r>
    <r>
      <rPr>
        <sz val="11"/>
        <color theme="1"/>
        <rFont val="Calibri"/>
        <family val="2"/>
      </rPr>
      <t xml:space="preserve"> only. Design constants</t>
    </r>
  </si>
  <si>
    <r>
      <t xml:space="preserve">will be       </t>
    </r>
    <r>
      <rPr>
        <b/>
        <sz val="11"/>
        <rFont val="Calibri"/>
        <family val="2"/>
      </rPr>
      <t xml:space="preserve"> k</t>
    </r>
  </si>
  <si>
    <r>
      <t>Also P</t>
    </r>
    <r>
      <rPr>
        <vertAlign val="subscript"/>
        <sz val="11"/>
        <rFont val="Calibri"/>
        <family val="2"/>
      </rPr>
      <t>L</t>
    </r>
  </si>
  <si>
    <r>
      <t>M - P</t>
    </r>
    <r>
      <rPr>
        <vertAlign val="subscript"/>
        <sz val="11"/>
        <rFont val="Calibri"/>
        <family val="2"/>
      </rPr>
      <t>B</t>
    </r>
    <r>
      <rPr>
        <sz val="11"/>
        <rFont val="Calibri"/>
        <family val="2"/>
      </rPr>
      <t xml:space="preserve"> x</t>
    </r>
  </si>
  <si>
    <r>
      <t>3.14 x diameter</t>
    </r>
    <r>
      <rPr>
        <vertAlign val="superscript"/>
        <sz val="11"/>
        <rFont val="Calibri"/>
        <family val="2"/>
      </rPr>
      <t>2</t>
    </r>
  </si>
  <si>
    <r>
      <t>A</t>
    </r>
    <r>
      <rPr>
        <vertAlign val="subscript"/>
        <sz val="11"/>
        <rFont val="Calibri"/>
        <family val="2"/>
      </rPr>
      <t>st</t>
    </r>
  </si>
  <si>
    <r>
      <t>mm</t>
    </r>
    <r>
      <rPr>
        <vertAlign val="superscript"/>
        <sz val="11"/>
        <rFont val="Calibri"/>
        <family val="2"/>
      </rPr>
      <t xml:space="preserve">2 </t>
    </r>
    <r>
      <rPr>
        <sz val="11"/>
        <rFont val="Calibri"/>
        <family val="2"/>
      </rPr>
      <t xml:space="preserve">steel area vertically </t>
    </r>
  </si>
  <si>
    <r>
      <t>mm</t>
    </r>
    <r>
      <rPr>
        <vertAlign val="superscript"/>
        <sz val="11"/>
        <rFont val="Calibri"/>
        <family val="2"/>
      </rPr>
      <t>2</t>
    </r>
    <r>
      <rPr>
        <sz val="11"/>
        <rFont val="Calibri"/>
        <family val="2"/>
      </rPr>
      <t xml:space="preserve"> vertically at outer face to serve as distribution </t>
    </r>
  </si>
  <si>
    <r>
      <t>3.14x diameter</t>
    </r>
    <r>
      <rPr>
        <vertAlign val="superscript"/>
        <sz val="11"/>
        <rFont val="Calibri"/>
        <family val="2"/>
      </rPr>
      <t>2</t>
    </r>
  </si>
  <si>
    <r>
      <t>Let live load on top slab be 2000 N/m</t>
    </r>
    <r>
      <rPr>
        <vertAlign val="superscript"/>
        <sz val="11"/>
        <rFont val="Calibri"/>
        <family val="2"/>
      </rPr>
      <t>2</t>
    </r>
    <r>
      <rPr>
        <sz val="11"/>
        <rFont val="Calibri"/>
        <family val="2"/>
      </rPr>
      <t xml:space="preserve"> . Assuming a thickness of 20 cm including finishes etc,</t>
    </r>
  </si>
  <si>
    <r>
      <t xml:space="preserve"> Self weight of slab  = 0.2*1*1*25000 = 5000 N/m</t>
    </r>
    <r>
      <rPr>
        <vertAlign val="superscript"/>
        <sz val="11"/>
        <rFont val="Calibri"/>
        <family val="2"/>
      </rPr>
      <t>2</t>
    </r>
    <r>
      <rPr>
        <sz val="11"/>
        <rFont val="Calibri"/>
        <family val="2"/>
      </rPr>
      <t xml:space="preserve"> .</t>
    </r>
  </si>
  <si>
    <r>
      <t>N/m</t>
    </r>
    <r>
      <rPr>
        <vertAlign val="superscript"/>
        <sz val="11"/>
        <rFont val="Calibri"/>
        <family val="2"/>
      </rPr>
      <t>2</t>
    </r>
  </si>
  <si>
    <t>mm Ø bars, d=</t>
  </si>
  <si>
    <r>
      <t>3.14  x  dia</t>
    </r>
    <r>
      <rPr>
        <vertAlign val="superscript"/>
        <sz val="11"/>
        <rFont val="Calibri"/>
        <family val="2"/>
      </rPr>
      <t>2</t>
    </r>
  </si>
  <si>
    <r>
      <t xml:space="preserve">
Considering Factor of safety is needed because, (1)Concrete may weigh less than 25000 N/m</t>
    </r>
    <r>
      <rPr>
        <b/>
        <vertAlign val="superscript"/>
        <sz val="11"/>
        <color theme="1"/>
        <rFont val="Calibri"/>
        <family val="2"/>
      </rPr>
      <t>2</t>
    </r>
    <r>
      <rPr>
        <b/>
        <sz val="11"/>
        <color theme="1"/>
        <rFont val="Calibri"/>
        <family val="2"/>
      </rPr>
      <t>.
(2) Earth may weigh less than what it is in the given conditions.
(3) Groundwater may turn saline and may weight more than 9810 N/m</t>
    </r>
    <r>
      <rPr>
        <b/>
        <vertAlign val="superscript"/>
        <sz val="11"/>
        <color theme="1"/>
        <rFont val="Calibri"/>
        <family val="2"/>
      </rPr>
      <t>3</t>
    </r>
    <r>
      <rPr>
        <b/>
        <sz val="11"/>
        <color theme="1"/>
        <rFont val="Calibri"/>
        <family val="2"/>
      </rPr>
      <t xml:space="preserve">
</t>
    </r>
  </si>
  <si>
    <t>mm Ø bar, @</t>
  </si>
  <si>
    <r>
      <t xml:space="preserve">     Bending moment at the ends=M</t>
    </r>
    <r>
      <rPr>
        <vertAlign val="subscript"/>
        <sz val="11"/>
        <rFont val="Calibri"/>
        <family val="2"/>
      </rPr>
      <t>f</t>
    </r>
    <r>
      <rPr>
        <sz val="11"/>
        <rFont val="Calibri"/>
        <family val="2"/>
      </rPr>
      <t xml:space="preserve">   = </t>
    </r>
  </si>
  <si>
    <r>
      <t>Direct pull P</t>
    </r>
    <r>
      <rPr>
        <vertAlign val="subscript"/>
        <sz val="11"/>
        <rFont val="Calibri"/>
        <family val="2"/>
      </rPr>
      <t xml:space="preserve">u </t>
    </r>
    <r>
      <rPr>
        <sz val="11"/>
        <color theme="1"/>
        <rFont val="Calibri"/>
        <family val="2"/>
      </rPr>
      <t>=</t>
    </r>
  </si>
  <si>
    <t>The upper portion of long walls is subjected to both bending in horizontal direction as well as pull.
 The reinforcement for both will be in horizontal direction. Hence ,</t>
  </si>
  <si>
    <t>PROJECT GUIDE :- DR. P.K. JAIN SIR
SUBMITTED BY :- 
ANUSHKA THAKUR (211111027)
DIVYANSH TIWARI (211111228)
DIVYANSH SHIVHARE (211111019)
RIYA KATIYAR (211111048)</t>
  </si>
  <si>
    <r>
      <t>Area of steel A</t>
    </r>
    <r>
      <rPr>
        <vertAlign val="subscript"/>
        <sz val="11"/>
        <color theme="1"/>
        <rFont val="Calibri"/>
        <family val="2"/>
        <scheme val="minor"/>
      </rPr>
      <t>st</t>
    </r>
  </si>
  <si>
    <t>Spacing of bars</t>
  </si>
  <si>
    <r>
      <t>Direct tension on long wall = P</t>
    </r>
    <r>
      <rPr>
        <vertAlign val="subscript"/>
        <sz val="11"/>
        <rFont val="Calibri"/>
        <family val="2"/>
      </rPr>
      <t>L</t>
    </r>
    <r>
      <rPr>
        <sz val="11"/>
        <rFont val="Calibri"/>
        <family val="2"/>
      </rPr>
      <t xml:space="preserve"> =  P x B/2 =</t>
    </r>
  </si>
  <si>
    <t>Total force of tank + water =</t>
  </si>
  <si>
    <t xml:space="preserve">Welcome to our Excel program for the design of rectangular RCC water tanks. 
This tool simplifies the design process by allowing you to input key parameters such as tank capacity, 
depth, soil characteristics, water properties, and concrete strength. 
With the click of a button, you'll receive detailed reinforcement details for the long wall, short wall, base slab, and roof slab.
Our user-friendly interface and efficient calculations ensure precise results, empowering you to create 
structurally sound water tanks tailored to your project needs. Let's get started!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</si>
</sst>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000"/>
    <numFmt numFmtId="166" formatCode="0.0"/>
  </numFmts>
  <fonts count="76" x14ac:knownFonts="1">
    <font>
      <sz val="11"/>
      <color theme="1"/>
      <name val="Calibri"/>
      <family val="2"/>
      <scheme val="minor"/>
    </font>
    <font>
      <sz val="14"/>
      <color theme="1"/>
      <name val="Calibri"/>
      <family val="2"/>
      <scheme val="minor"/>
    </font>
    <font>
      <u/>
      <sz val="11"/>
      <color theme="10"/>
      <name val="Calibri"/>
      <family val="2"/>
      <scheme val="minor"/>
    </font>
    <font>
      <sz val="8"/>
      <name val="Arial"/>
      <family val="2"/>
    </font>
    <font>
      <b/>
      <sz val="10"/>
      <name val="Arial"/>
      <family val="2"/>
    </font>
    <font>
      <sz val="10"/>
      <name val="Arial"/>
      <family val="2"/>
    </font>
    <font>
      <vertAlign val="superscript"/>
      <sz val="10"/>
      <name val="Arial"/>
      <family val="2"/>
    </font>
    <font>
      <sz val="12"/>
      <name val="Symbol"/>
      <family val="1"/>
      <charset val="2"/>
    </font>
    <font>
      <sz val="10"/>
      <name val="Symbol"/>
      <family val="1"/>
      <charset val="2"/>
    </font>
    <font>
      <sz val="9"/>
      <name val="Arial"/>
      <family val="2"/>
    </font>
    <font>
      <b/>
      <sz val="11"/>
      <name val="Arial"/>
      <family val="2"/>
    </font>
    <font>
      <vertAlign val="subscript"/>
      <sz val="10"/>
      <name val="Arial"/>
      <family val="2"/>
    </font>
    <font>
      <sz val="11"/>
      <name val="Arial"/>
      <family val="2"/>
    </font>
    <font>
      <sz val="11"/>
      <name val="Symbol"/>
      <family val="1"/>
      <charset val="2"/>
    </font>
    <font>
      <vertAlign val="subscript"/>
      <sz val="11"/>
      <name val="Arial"/>
      <family val="2"/>
    </font>
    <font>
      <b/>
      <u/>
      <sz val="10"/>
      <name val="Arial"/>
      <family val="2"/>
    </font>
    <font>
      <b/>
      <i/>
      <sz val="10"/>
      <name val="Arial"/>
      <family val="2"/>
    </font>
    <font>
      <b/>
      <sz val="11"/>
      <name val="Symbol"/>
      <family val="1"/>
      <charset val="2"/>
    </font>
    <font>
      <b/>
      <sz val="14"/>
      <color theme="1"/>
      <name val="Calibri"/>
      <family val="2"/>
      <scheme val="minor"/>
    </font>
    <font>
      <vertAlign val="superscript"/>
      <sz val="11"/>
      <color theme="1"/>
      <name val="Calibri"/>
      <family val="2"/>
      <scheme val="minor"/>
    </font>
    <font>
      <b/>
      <vertAlign val="subscript"/>
      <sz val="11"/>
      <name val="Arial"/>
      <family val="2"/>
    </font>
    <font>
      <u/>
      <sz val="10"/>
      <name val="Arial"/>
      <family val="2"/>
    </font>
    <font>
      <u/>
      <vertAlign val="subscript"/>
      <sz val="10"/>
      <name val="Arial"/>
      <family val="2"/>
    </font>
    <font>
      <sz val="8"/>
      <name val="Symbol"/>
      <family val="1"/>
      <charset val="2"/>
    </font>
    <font>
      <vertAlign val="subscript"/>
      <sz val="8"/>
      <name val="Arial"/>
      <family val="2"/>
    </font>
    <font>
      <b/>
      <u/>
      <vertAlign val="subscript"/>
      <sz val="10"/>
      <name val="Arial"/>
      <family val="2"/>
    </font>
    <font>
      <b/>
      <u/>
      <sz val="12"/>
      <color theme="4"/>
      <name val="Calibri"/>
      <family val="2"/>
      <scheme val="minor"/>
    </font>
    <font>
      <b/>
      <u/>
      <sz val="11"/>
      <color theme="4"/>
      <name val="Calibri"/>
      <family val="2"/>
      <scheme val="minor"/>
    </font>
    <font>
      <b/>
      <sz val="16"/>
      <color theme="1"/>
      <name val="Calibri"/>
      <family val="2"/>
      <scheme val="minor"/>
    </font>
    <font>
      <b/>
      <sz val="12"/>
      <color theme="1"/>
      <name val="Calibri"/>
      <family val="2"/>
      <scheme val="minor"/>
    </font>
    <font>
      <sz val="11"/>
      <color rgb="FFC00000"/>
      <name val="Calibri"/>
      <family val="2"/>
      <scheme val="minor"/>
    </font>
    <font>
      <b/>
      <u/>
      <sz val="11"/>
      <color rgb="FFC00000"/>
      <name val="Arial"/>
      <family val="2"/>
    </font>
    <font>
      <sz val="12"/>
      <color rgb="FFC00000"/>
      <name val="Arial"/>
      <family val="2"/>
    </font>
    <font>
      <sz val="10"/>
      <color rgb="FFC00000"/>
      <name val="Symbol"/>
      <family val="1"/>
      <charset val="2"/>
    </font>
    <font>
      <sz val="8"/>
      <color rgb="FFC00000"/>
      <name val="Arial"/>
      <family val="2"/>
    </font>
    <font>
      <sz val="11"/>
      <color rgb="FFC00000"/>
      <name val="Calibri"/>
      <family val="2"/>
    </font>
    <font>
      <b/>
      <sz val="14"/>
      <color rgb="FFC00000"/>
      <name val="Calibri"/>
      <family val="2"/>
      <scheme val="minor"/>
    </font>
    <font>
      <sz val="10"/>
      <color rgb="FFC00000"/>
      <name val="Arial"/>
      <family val="2"/>
    </font>
    <font>
      <b/>
      <u/>
      <sz val="10"/>
      <color rgb="FFC00000"/>
      <name val="Arial"/>
      <family val="2"/>
    </font>
    <font>
      <sz val="9"/>
      <color rgb="FFC00000"/>
      <name val="Arial"/>
      <family val="2"/>
    </font>
    <font>
      <b/>
      <u/>
      <sz val="11"/>
      <color rgb="FFC00000"/>
      <name val="Calibri"/>
      <family val="2"/>
      <scheme val="minor"/>
    </font>
    <font>
      <u/>
      <sz val="10"/>
      <color rgb="FFC00000"/>
      <name val="Arial"/>
      <family val="2"/>
    </font>
    <font>
      <vertAlign val="subscript"/>
      <sz val="11"/>
      <color theme="1"/>
      <name val="Calibri"/>
      <family val="2"/>
      <scheme val="minor"/>
    </font>
    <font>
      <sz val="8"/>
      <name val="Calibri"/>
      <family val="2"/>
      <scheme val="minor"/>
    </font>
    <font>
      <sz val="12"/>
      <color theme="1"/>
      <name val="Calibri"/>
      <family val="2"/>
      <scheme val="minor"/>
    </font>
    <font>
      <sz val="12"/>
      <color rgb="FFC00000"/>
      <name val="Calibri"/>
      <family val="2"/>
      <scheme val="minor"/>
    </font>
    <font>
      <vertAlign val="superscript"/>
      <sz val="12"/>
      <color rgb="FFC00000"/>
      <name val="Calibri"/>
      <family val="2"/>
      <scheme val="minor"/>
    </font>
    <font>
      <sz val="12"/>
      <color theme="1"/>
      <name val="Calibri"/>
      <family val="2"/>
    </font>
    <font>
      <vertAlign val="subscript"/>
      <sz val="12"/>
      <color theme="1"/>
      <name val="Calibri"/>
      <family val="2"/>
    </font>
    <font>
      <vertAlign val="superscript"/>
      <sz val="12"/>
      <color theme="1"/>
      <name val="Calibri"/>
      <family val="2"/>
    </font>
    <font>
      <vertAlign val="superscript"/>
      <sz val="12"/>
      <color theme="1"/>
      <name val="Calibri"/>
      <family val="2"/>
      <scheme val="minor"/>
    </font>
    <font>
      <vertAlign val="subscript"/>
      <sz val="12"/>
      <color theme="1"/>
      <name val="Calibri"/>
      <family val="2"/>
      <scheme val="minor"/>
    </font>
    <font>
      <sz val="11"/>
      <color theme="1"/>
      <name val="Calibri"/>
      <family val="2"/>
    </font>
    <font>
      <b/>
      <sz val="11"/>
      <color theme="1"/>
      <name val="Calibri"/>
      <family val="2"/>
    </font>
    <font>
      <b/>
      <sz val="11"/>
      <name val="Calibri"/>
      <family val="2"/>
    </font>
    <font>
      <sz val="11"/>
      <name val="Calibri"/>
      <family val="2"/>
    </font>
    <font>
      <vertAlign val="subscript"/>
      <sz val="11"/>
      <name val="Calibri"/>
      <family val="2"/>
    </font>
    <font>
      <u/>
      <sz val="11"/>
      <color theme="10"/>
      <name val="Calibri"/>
      <family val="2"/>
    </font>
    <font>
      <vertAlign val="superscript"/>
      <sz val="11"/>
      <color theme="1"/>
      <name val="Calibri"/>
      <family val="2"/>
    </font>
    <font>
      <b/>
      <u/>
      <sz val="16"/>
      <color theme="1"/>
      <name val="Calibri"/>
      <family val="2"/>
    </font>
    <font>
      <vertAlign val="subscript"/>
      <sz val="11"/>
      <color theme="1"/>
      <name val="Calibri"/>
      <family val="2"/>
    </font>
    <font>
      <b/>
      <vertAlign val="superscript"/>
      <sz val="11"/>
      <color theme="1"/>
      <name val="Calibri"/>
      <family val="2"/>
    </font>
    <font>
      <vertAlign val="superscript"/>
      <sz val="11"/>
      <name val="Calibri"/>
      <family val="2"/>
    </font>
    <font>
      <b/>
      <vertAlign val="subscript"/>
      <sz val="11"/>
      <name val="Calibri"/>
      <family val="2"/>
    </font>
    <font>
      <b/>
      <i/>
      <u/>
      <sz val="11"/>
      <name val="Calibri"/>
      <family val="2"/>
    </font>
    <font>
      <i/>
      <sz val="11"/>
      <color indexed="10"/>
      <name val="Calibri"/>
      <family val="2"/>
    </font>
    <font>
      <i/>
      <vertAlign val="subscript"/>
      <sz val="11"/>
      <color indexed="10"/>
      <name val="Calibri"/>
      <family val="2"/>
    </font>
    <font>
      <i/>
      <sz val="11"/>
      <name val="Calibri"/>
      <family val="2"/>
    </font>
    <font>
      <u/>
      <sz val="11"/>
      <color indexed="12"/>
      <name val="Calibri"/>
      <family val="2"/>
    </font>
    <font>
      <sz val="11"/>
      <color indexed="10"/>
      <name val="Calibri"/>
      <family val="2"/>
    </font>
    <font>
      <b/>
      <u/>
      <sz val="14"/>
      <color theme="1"/>
      <name val="Calibri"/>
      <family val="2"/>
    </font>
    <font>
      <b/>
      <u/>
      <sz val="14"/>
      <name val="Calibri"/>
      <family val="2"/>
    </font>
    <font>
      <u/>
      <sz val="14"/>
      <color theme="1"/>
      <name val="Calibri"/>
      <family val="2"/>
    </font>
    <font>
      <u/>
      <sz val="14"/>
      <name val="Calibri"/>
      <family val="2"/>
    </font>
    <font>
      <b/>
      <u val="double"/>
      <sz val="18"/>
      <name val="Calibri"/>
      <family val="2"/>
    </font>
    <font>
      <b/>
      <u val="double"/>
      <sz val="22"/>
      <color theme="1"/>
      <name val="Calibri"/>
      <family val="2"/>
      <scheme val="minor"/>
    </font>
  </fonts>
  <fills count="3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bgColor indexed="64"/>
      </patternFill>
    </fill>
    <fill>
      <patternFill patternType="solid">
        <fgColor rgb="FF00B050"/>
        <bgColor indexed="64"/>
      </patternFill>
    </fill>
    <fill>
      <patternFill patternType="solid">
        <fgColor theme="0"/>
        <bgColor indexed="64"/>
      </patternFill>
    </fill>
    <fill>
      <patternFill patternType="solid">
        <fgColor indexed="47"/>
        <bgColor indexed="64"/>
      </patternFill>
    </fill>
    <fill>
      <patternFill patternType="solid">
        <fgColor theme="1"/>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theme="5" tint="0.39997558519241921"/>
        <bgColor indexed="64"/>
      </patternFill>
    </fill>
    <fill>
      <patternFill patternType="solid">
        <fgColor indexed="42"/>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44"/>
        <bgColor indexed="64"/>
      </patternFill>
    </fill>
    <fill>
      <patternFill patternType="solid">
        <fgColor indexed="43"/>
        <bgColor indexed="64"/>
      </patternFill>
    </fill>
    <fill>
      <patternFill patternType="solid">
        <fgColor indexed="13"/>
        <bgColor indexed="64"/>
      </patternFill>
    </fill>
    <fill>
      <patternFill patternType="solid">
        <fgColor indexed="14"/>
        <bgColor indexed="64"/>
      </patternFill>
    </fill>
    <fill>
      <patternFill patternType="solid">
        <fgColor indexed="51"/>
        <bgColor indexed="64"/>
      </patternFill>
    </fill>
    <fill>
      <patternFill patternType="solid">
        <fgColor theme="2" tint="-9.9978637043366805E-2"/>
        <bgColor indexed="64"/>
      </patternFill>
    </fill>
    <fill>
      <patternFill patternType="solid">
        <fgColor theme="0" tint="-4.9989318521683403E-2"/>
        <bgColor indexed="64"/>
      </patternFill>
    </fill>
  </fills>
  <borders count="16">
    <border>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83">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3" xfId="0"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0" fillId="8" borderId="0" xfId="0" applyFill="1"/>
    <xf numFmtId="0" fontId="0" fillId="6" borderId="0" xfId="0" applyFill="1"/>
    <xf numFmtId="1" fontId="0" fillId="0" borderId="0" xfId="0" applyNumberFormat="1"/>
    <xf numFmtId="0" fontId="0" fillId="20" borderId="7" xfId="0" applyFill="1" applyBorder="1" applyAlignment="1">
      <alignment horizontal="center" vertical="center"/>
    </xf>
    <xf numFmtId="0" fontId="0" fillId="21" borderId="8" xfId="0" applyFill="1" applyBorder="1" applyAlignment="1">
      <alignment horizontal="center" vertical="center"/>
    </xf>
    <xf numFmtId="0" fontId="0" fillId="21" borderId="7" xfId="0" applyFill="1" applyBorder="1" applyAlignment="1">
      <alignment horizontal="center" vertical="center"/>
    </xf>
    <xf numFmtId="0" fontId="0" fillId="21" borderId="10" xfId="0" applyFill="1" applyBorder="1" applyAlignment="1">
      <alignment horizontal="center" vertical="center"/>
    </xf>
    <xf numFmtId="0" fontId="8" fillId="21" borderId="8" xfId="0" applyFont="1" applyFill="1" applyBorder="1" applyAlignment="1">
      <alignment horizontal="center" vertical="center"/>
    </xf>
    <xf numFmtId="0" fontId="0" fillId="21" borderId="7" xfId="0" quotePrefix="1" applyFill="1" applyBorder="1" applyAlignment="1">
      <alignment horizontal="center" vertical="center"/>
    </xf>
    <xf numFmtId="0" fontId="5" fillId="20" borderId="7" xfId="0" applyFont="1" applyFill="1" applyBorder="1" applyAlignment="1">
      <alignment horizontal="center" vertical="center" wrapText="1"/>
    </xf>
    <xf numFmtId="0" fontId="0" fillId="9" borderId="7" xfId="0" applyFill="1" applyBorder="1" applyAlignment="1">
      <alignment horizontal="center" vertical="center"/>
    </xf>
    <xf numFmtId="0" fontId="0" fillId="20" borderId="7" xfId="0" applyFill="1" applyBorder="1" applyAlignment="1">
      <alignment horizontal="center"/>
    </xf>
    <xf numFmtId="0" fontId="0" fillId="20" borderId="0" xfId="0" applyFill="1" applyAlignment="1">
      <alignment horizontal="center"/>
    </xf>
    <xf numFmtId="0" fontId="0" fillId="22" borderId="7" xfId="0" applyFill="1" applyBorder="1" applyAlignment="1">
      <alignment horizontal="center" vertical="center"/>
    </xf>
    <xf numFmtId="0" fontId="0" fillId="22" borderId="10" xfId="0" applyFill="1" applyBorder="1" applyAlignment="1">
      <alignment horizontal="center" vertical="center"/>
    </xf>
    <xf numFmtId="0" fontId="0" fillId="23" borderId="7" xfId="0" applyFill="1" applyBorder="1" applyAlignment="1">
      <alignment horizontal="center" vertical="center"/>
    </xf>
    <xf numFmtId="2" fontId="0" fillId="22" borderId="7" xfId="0" applyNumberFormat="1" applyFill="1" applyBorder="1" applyAlignment="1">
      <alignment horizontal="center" vertical="center"/>
    </xf>
    <xf numFmtId="2" fontId="0" fillId="0" borderId="0" xfId="0" applyNumberFormat="1" applyAlignment="1">
      <alignment horizontal="center" vertical="center"/>
    </xf>
    <xf numFmtId="0" fontId="0" fillId="23" borderId="0" xfId="0" applyFill="1"/>
    <xf numFmtId="166" fontId="0" fillId="23" borderId="9" xfId="0" applyNumberFormat="1" applyFill="1" applyBorder="1" applyAlignment="1">
      <alignment horizontal="center" vertical="center"/>
    </xf>
    <xf numFmtId="1" fontId="0" fillId="23" borderId="7" xfId="0" applyNumberFormat="1" applyFill="1" applyBorder="1" applyAlignment="1">
      <alignment horizontal="center" vertical="center"/>
    </xf>
    <xf numFmtId="166" fontId="0" fillId="23" borderId="8" xfId="0" applyNumberFormat="1" applyFill="1" applyBorder="1" applyAlignment="1">
      <alignment horizontal="center" vertical="center"/>
    </xf>
    <xf numFmtId="2" fontId="0" fillId="22" borderId="15" xfId="0" applyNumberFormat="1" applyFill="1" applyBorder="1" applyAlignment="1">
      <alignment horizontal="center" vertical="center"/>
    </xf>
    <xf numFmtId="166" fontId="0" fillId="23" borderId="9" xfId="0" applyNumberFormat="1" applyFill="1" applyBorder="1" applyAlignment="1">
      <alignment horizontal="center"/>
    </xf>
    <xf numFmtId="166" fontId="0" fillId="23" borderId="8" xfId="0" applyNumberFormat="1" applyFill="1" applyBorder="1" applyAlignment="1">
      <alignment horizontal="center"/>
    </xf>
    <xf numFmtId="0" fontId="0" fillId="22" borderId="13" xfId="0" applyFill="1" applyBorder="1" applyAlignment="1">
      <alignment horizontal="center" vertical="center"/>
    </xf>
    <xf numFmtId="0" fontId="10" fillId="24" borderId="0" xfId="0" applyFont="1" applyFill="1" applyAlignment="1">
      <alignment horizontal="center" vertical="center"/>
    </xf>
    <xf numFmtId="0" fontId="0" fillId="24" borderId="10" xfId="0" applyFill="1" applyBorder="1" applyAlignment="1">
      <alignment horizontal="center" vertical="center"/>
    </xf>
    <xf numFmtId="0" fontId="0" fillId="24" borderId="7" xfId="0" applyFill="1" applyBorder="1" applyAlignment="1">
      <alignment horizontal="center" vertical="center"/>
    </xf>
    <xf numFmtId="166" fontId="0" fillId="24" borderId="7" xfId="0" applyNumberFormat="1" applyFill="1" applyBorder="1" applyAlignment="1">
      <alignment horizontal="center" vertical="center"/>
    </xf>
    <xf numFmtId="166" fontId="0" fillId="24" borderId="10" xfId="0" applyNumberFormat="1" applyFill="1" applyBorder="1" applyAlignment="1">
      <alignment horizontal="center" vertical="center"/>
    </xf>
    <xf numFmtId="0" fontId="15" fillId="20" borderId="4" xfId="0" applyFont="1" applyFill="1" applyBorder="1" applyAlignment="1">
      <alignment horizontal="center" vertical="center"/>
    </xf>
    <xf numFmtId="0" fontId="15" fillId="20" borderId="13" xfId="0" applyFont="1" applyFill="1" applyBorder="1" applyAlignment="1">
      <alignment horizontal="center" vertical="center"/>
    </xf>
    <xf numFmtId="0" fontId="16" fillId="20" borderId="11" xfId="0" applyFont="1" applyFill="1" applyBorder="1" applyAlignment="1">
      <alignment horizontal="center" vertical="top"/>
    </xf>
    <xf numFmtId="0" fontId="16" fillId="20" borderId="14" xfId="0" applyFont="1" applyFill="1" applyBorder="1" applyAlignment="1">
      <alignment horizontal="center" vertical="top"/>
    </xf>
    <xf numFmtId="0" fontId="0" fillId="26" borderId="11" xfId="0" applyFill="1" applyBorder="1" applyAlignment="1">
      <alignment horizontal="center"/>
    </xf>
    <xf numFmtId="0" fontId="0" fillId="27" borderId="14" xfId="0" applyFill="1" applyBorder="1" applyAlignment="1">
      <alignment horizontal="center"/>
    </xf>
    <xf numFmtId="0" fontId="0" fillId="28" borderId="14" xfId="0" applyFill="1" applyBorder="1" applyAlignment="1">
      <alignment horizontal="center"/>
    </xf>
    <xf numFmtId="0" fontId="0" fillId="23" borderId="14" xfId="0" applyFill="1" applyBorder="1" applyAlignment="1">
      <alignment horizontal="center"/>
    </xf>
    <xf numFmtId="0" fontId="5" fillId="20" borderId="11" xfId="0" applyFont="1" applyFill="1" applyBorder="1" applyAlignment="1">
      <alignment horizontal="center" vertical="center"/>
    </xf>
    <xf numFmtId="0" fontId="0" fillId="20" borderId="14" xfId="0" applyFill="1" applyBorder="1" applyAlignment="1">
      <alignment horizontal="center" vertical="center"/>
    </xf>
    <xf numFmtId="0" fontId="5" fillId="20" borderId="14" xfId="0" applyFont="1" applyFill="1" applyBorder="1" applyAlignment="1">
      <alignment horizontal="center" vertical="center"/>
    </xf>
    <xf numFmtId="164" fontId="0" fillId="27" borderId="7" xfId="0" applyNumberFormat="1" applyFill="1" applyBorder="1" applyAlignment="1">
      <alignment horizontal="center"/>
    </xf>
    <xf numFmtId="164" fontId="0" fillId="28" borderId="7" xfId="0" applyNumberFormat="1" applyFill="1" applyBorder="1" applyAlignment="1">
      <alignment horizontal="center"/>
    </xf>
    <xf numFmtId="164" fontId="0" fillId="23" borderId="7" xfId="0" applyNumberFormat="1" applyFill="1" applyBorder="1" applyAlignment="1">
      <alignment horizontal="center"/>
    </xf>
    <xf numFmtId="0" fontId="5" fillId="20" borderId="8" xfId="0" applyFont="1" applyFill="1" applyBorder="1" applyAlignment="1">
      <alignment horizontal="center" vertical="center"/>
    </xf>
    <xf numFmtId="0" fontId="5" fillId="20" borderId="7" xfId="0" applyFont="1" applyFill="1" applyBorder="1" applyAlignment="1">
      <alignment horizontal="center" vertical="center"/>
    </xf>
    <xf numFmtId="2" fontId="0" fillId="20" borderId="7" xfId="0" applyNumberFormat="1" applyFill="1" applyBorder="1" applyAlignment="1">
      <alignment horizontal="center" vertical="center"/>
    </xf>
    <xf numFmtId="2" fontId="0" fillId="20" borderId="8" xfId="0" applyNumberFormat="1" applyFill="1" applyBorder="1" applyAlignment="1">
      <alignment horizontal="center" vertical="center"/>
    </xf>
    <xf numFmtId="165" fontId="0" fillId="27" borderId="7" xfId="0" applyNumberFormat="1" applyFill="1" applyBorder="1" applyAlignment="1">
      <alignment horizontal="center"/>
    </xf>
    <xf numFmtId="0" fontId="0" fillId="26" borderId="7" xfId="0" applyFill="1" applyBorder="1" applyAlignment="1">
      <alignment horizontal="center"/>
    </xf>
    <xf numFmtId="0" fontId="3" fillId="20" borderId="8" xfId="0" applyFont="1" applyFill="1" applyBorder="1" applyAlignment="1">
      <alignment horizontal="right" vertical="center"/>
    </xf>
    <xf numFmtId="0" fontId="26" fillId="0" borderId="0" xfId="0" applyFont="1"/>
    <xf numFmtId="0" fontId="27" fillId="0" borderId="0" xfId="0" applyFont="1"/>
    <xf numFmtId="0" fontId="28" fillId="6" borderId="0" xfId="0" applyFont="1" applyFill="1" applyAlignment="1">
      <alignment horizontal="center" vertical="center"/>
    </xf>
    <xf numFmtId="0" fontId="0" fillId="29" borderId="0" xfId="0" applyFill="1"/>
    <xf numFmtId="0" fontId="30" fillId="30" borderId="0" xfId="0" applyFont="1" applyFill="1"/>
    <xf numFmtId="1" fontId="30" fillId="30" borderId="0" xfId="0" applyNumberFormat="1" applyFont="1" applyFill="1"/>
    <xf numFmtId="0" fontId="30" fillId="30" borderId="0" xfId="0" applyFont="1" applyFill="1" applyAlignment="1">
      <alignment horizontal="center"/>
    </xf>
    <xf numFmtId="0" fontId="34" fillId="30" borderId="0" xfId="0" applyFont="1" applyFill="1"/>
    <xf numFmtId="0" fontId="30" fillId="30" borderId="4" xfId="0" applyFont="1" applyFill="1" applyBorder="1"/>
    <xf numFmtId="0" fontId="30" fillId="30" borderId="3" xfId="0" applyFont="1" applyFill="1" applyBorder="1"/>
    <xf numFmtId="0" fontId="30" fillId="30" borderId="5" xfId="0" applyFont="1" applyFill="1" applyBorder="1"/>
    <xf numFmtId="0" fontId="30" fillId="30" borderId="6" xfId="0" applyFont="1" applyFill="1" applyBorder="1"/>
    <xf numFmtId="0" fontId="30" fillId="30" borderId="1" xfId="0" applyFont="1" applyFill="1" applyBorder="1"/>
    <xf numFmtId="1" fontId="30" fillId="30" borderId="0" xfId="0" applyNumberFormat="1" applyFont="1" applyFill="1" applyAlignment="1">
      <alignment horizontal="center"/>
    </xf>
    <xf numFmtId="1" fontId="30" fillId="30" borderId="6" xfId="0" applyNumberFormat="1" applyFont="1" applyFill="1" applyBorder="1"/>
    <xf numFmtId="0" fontId="30" fillId="30" borderId="0" xfId="0" applyFont="1" applyFill="1" applyAlignment="1">
      <alignment horizontal="right"/>
    </xf>
    <xf numFmtId="2" fontId="30" fillId="30" borderId="0" xfId="0" applyNumberFormat="1" applyFont="1" applyFill="1" applyAlignment="1">
      <alignment horizontal="center"/>
    </xf>
    <xf numFmtId="0" fontId="30" fillId="30" borderId="11" xfId="0" applyFont="1" applyFill="1" applyBorder="1"/>
    <xf numFmtId="0" fontId="30" fillId="30" borderId="2" xfId="0" applyFont="1" applyFill="1" applyBorder="1"/>
    <xf numFmtId="0" fontId="30" fillId="30" borderId="12" xfId="0" applyFont="1" applyFill="1" applyBorder="1"/>
    <xf numFmtId="0" fontId="30" fillId="30" borderId="0" xfId="0" applyFont="1" applyFill="1" applyAlignment="1">
      <alignment horizontal="left"/>
    </xf>
    <xf numFmtId="2" fontId="30" fillId="30" borderId="0" xfId="0" applyNumberFormat="1" applyFont="1" applyFill="1" applyAlignment="1">
      <alignment horizontal="right"/>
    </xf>
    <xf numFmtId="0" fontId="37" fillId="30" borderId="0" xfId="0" applyFont="1" applyFill="1"/>
    <xf numFmtId="1" fontId="38" fillId="30" borderId="0" xfId="0" applyNumberFormat="1" applyFont="1" applyFill="1"/>
    <xf numFmtId="0" fontId="39" fillId="30" borderId="0" xfId="0" applyFont="1" applyFill="1"/>
    <xf numFmtId="2" fontId="30" fillId="30" borderId="0" xfId="0" applyNumberFormat="1" applyFont="1" applyFill="1" applyAlignment="1">
      <alignment horizontal="left"/>
    </xf>
    <xf numFmtId="0" fontId="34" fillId="30" borderId="0" xfId="0" applyFont="1" applyFill="1" applyAlignment="1">
      <alignment horizontal="center"/>
    </xf>
    <xf numFmtId="0" fontId="30" fillId="30" borderId="0" xfId="0" applyFont="1" applyFill="1" applyAlignment="1">
      <alignment vertical="center"/>
    </xf>
    <xf numFmtId="0" fontId="40" fillId="30" borderId="0" xfId="0" applyFont="1" applyFill="1"/>
    <xf numFmtId="0" fontId="41" fillId="30" borderId="0" xfId="1" applyFont="1" applyFill="1" applyBorder="1" applyAlignment="1" applyProtection="1"/>
    <xf numFmtId="1" fontId="30" fillId="30" borderId="0" xfId="0" applyNumberFormat="1" applyFont="1" applyFill="1" applyAlignment="1">
      <alignment horizontal="left"/>
    </xf>
    <xf numFmtId="2" fontId="30" fillId="30" borderId="0" xfId="0" applyNumberFormat="1" applyFont="1" applyFill="1"/>
    <xf numFmtId="166" fontId="30" fillId="30" borderId="0" xfId="0" applyNumberFormat="1" applyFont="1" applyFill="1" applyAlignment="1">
      <alignment vertical="center"/>
    </xf>
    <xf numFmtId="166" fontId="30" fillId="30" borderId="0" xfId="0" applyNumberFormat="1" applyFont="1" applyFill="1" applyAlignment="1">
      <alignment horizontal="left" vertical="center"/>
    </xf>
    <xf numFmtId="2" fontId="44" fillId="8" borderId="0" xfId="0" applyNumberFormat="1" applyFont="1" applyFill="1" applyAlignment="1">
      <alignment horizontal="center"/>
    </xf>
    <xf numFmtId="2" fontId="44" fillId="0" borderId="0" xfId="0" applyNumberFormat="1" applyFont="1" applyAlignment="1">
      <alignment horizontal="center"/>
    </xf>
    <xf numFmtId="2" fontId="45" fillId="3" borderId="0" xfId="0" applyNumberFormat="1" applyFont="1" applyFill="1" applyAlignment="1">
      <alignment horizontal="left"/>
    </xf>
    <xf numFmtId="2" fontId="44" fillId="2" borderId="0" xfId="0" applyNumberFormat="1" applyFont="1" applyFill="1" applyAlignment="1">
      <alignment horizontal="center"/>
    </xf>
    <xf numFmtId="2" fontId="44" fillId="6" borderId="0" xfId="0" applyNumberFormat="1" applyFont="1" applyFill="1" applyAlignment="1">
      <alignment horizontal="center"/>
    </xf>
    <xf numFmtId="2" fontId="47" fillId="6" borderId="0" xfId="0" applyNumberFormat="1" applyFont="1" applyFill="1" applyAlignment="1">
      <alignment horizontal="center"/>
    </xf>
    <xf numFmtId="2" fontId="44" fillId="7" borderId="0" xfId="0" applyNumberFormat="1" applyFont="1" applyFill="1" applyAlignment="1">
      <alignment horizontal="center"/>
    </xf>
    <xf numFmtId="2" fontId="44" fillId="4" borderId="0" xfId="0" applyNumberFormat="1" applyFont="1" applyFill="1" applyAlignment="1">
      <alignment horizontal="center"/>
    </xf>
    <xf numFmtId="2" fontId="44" fillId="5" borderId="0" xfId="0" applyNumberFormat="1" applyFont="1" applyFill="1" applyAlignment="1">
      <alignment horizontal="center"/>
    </xf>
    <xf numFmtId="0" fontId="52" fillId="10" borderId="0" xfId="0" applyFont="1" applyFill="1"/>
    <xf numFmtId="0" fontId="52" fillId="6" borderId="0" xfId="0" applyFont="1" applyFill="1"/>
    <xf numFmtId="0" fontId="52" fillId="11" borderId="0" xfId="0" applyFont="1" applyFill="1"/>
    <xf numFmtId="2" fontId="52" fillId="11" borderId="0" xfId="0" applyNumberFormat="1" applyFont="1" applyFill="1"/>
    <xf numFmtId="0" fontId="52" fillId="11" borderId="0" xfId="0" applyFont="1" applyFill="1" applyAlignment="1">
      <alignment horizontal="center"/>
    </xf>
    <xf numFmtId="2" fontId="52" fillId="11" borderId="0" xfId="0" applyNumberFormat="1" applyFont="1" applyFill="1" applyAlignment="1">
      <alignment horizontal="center"/>
    </xf>
    <xf numFmtId="0" fontId="52" fillId="11" borderId="0" xfId="0" quotePrefix="1" applyFont="1" applyFill="1" applyAlignment="1">
      <alignment horizontal="center"/>
    </xf>
    <xf numFmtId="0" fontId="52" fillId="8" borderId="0" xfId="0" applyFont="1" applyFill="1"/>
    <xf numFmtId="0" fontId="53" fillId="12" borderId="0" xfId="0" applyFont="1" applyFill="1"/>
    <xf numFmtId="0" fontId="52" fillId="12" borderId="0" xfId="0" applyFont="1" applyFill="1"/>
    <xf numFmtId="0" fontId="52" fillId="12" borderId="0" xfId="0" applyFont="1" applyFill="1" applyAlignment="1">
      <alignment horizontal="center"/>
    </xf>
    <xf numFmtId="0" fontId="52" fillId="12" borderId="0" xfId="0" quotePrefix="1" applyFont="1" applyFill="1"/>
    <xf numFmtId="0" fontId="52" fillId="12" borderId="0" xfId="0" applyFont="1" applyFill="1" applyAlignment="1">
      <alignment horizontal="right"/>
    </xf>
    <xf numFmtId="0" fontId="52" fillId="12" borderId="0" xfId="0" quotePrefix="1" applyFont="1" applyFill="1" applyAlignment="1">
      <alignment horizontal="center"/>
    </xf>
    <xf numFmtId="2" fontId="52" fillId="12" borderId="0" xfId="0" applyNumberFormat="1" applyFont="1" applyFill="1" applyAlignment="1">
      <alignment horizontal="center"/>
    </xf>
    <xf numFmtId="164" fontId="52" fillId="10" borderId="0" xfId="0" applyNumberFormat="1" applyFont="1" applyFill="1"/>
    <xf numFmtId="2" fontId="52" fillId="12" borderId="0" xfId="0" applyNumberFormat="1" applyFont="1" applyFill="1" applyAlignment="1">
      <alignment horizontal="left" vertical="center"/>
    </xf>
    <xf numFmtId="0" fontId="52" fillId="12" borderId="0" xfId="0" quotePrefix="1" applyFont="1" applyFill="1" applyAlignment="1">
      <alignment horizontal="center" vertical="center"/>
    </xf>
    <xf numFmtId="2" fontId="52" fillId="12" borderId="0" xfId="0" applyNumberFormat="1" applyFont="1" applyFill="1" applyAlignment="1">
      <alignment vertical="center"/>
    </xf>
    <xf numFmtId="0" fontId="52" fillId="12" borderId="0" xfId="0" applyFont="1" applyFill="1" applyAlignment="1">
      <alignment horizontal="center" vertical="center"/>
    </xf>
    <xf numFmtId="0" fontId="52" fillId="12" borderId="0" xfId="0" applyFont="1" applyFill="1" applyAlignment="1">
      <alignment horizontal="right" vertical="center"/>
    </xf>
    <xf numFmtId="164" fontId="52" fillId="12" borderId="0" xfId="0" applyNumberFormat="1" applyFont="1" applyFill="1" applyAlignment="1">
      <alignment horizontal="center" vertical="center"/>
    </xf>
    <xf numFmtId="0" fontId="52" fillId="8" borderId="0" xfId="0" applyFont="1" applyFill="1" applyAlignment="1">
      <alignment horizontal="center"/>
    </xf>
    <xf numFmtId="164" fontId="52" fillId="8" borderId="0" xfId="0" applyNumberFormat="1" applyFont="1" applyFill="1" applyAlignment="1">
      <alignment horizontal="center"/>
    </xf>
    <xf numFmtId="0" fontId="52" fillId="8" borderId="0" xfId="0" quotePrefix="1" applyFont="1" applyFill="1" applyAlignment="1">
      <alignment horizontal="center"/>
    </xf>
    <xf numFmtId="0" fontId="53" fillId="13" borderId="0" xfId="0" applyFont="1" applyFill="1"/>
    <xf numFmtId="0" fontId="52" fillId="13" borderId="0" xfId="0" applyFont="1" applyFill="1"/>
    <xf numFmtId="2" fontId="52" fillId="13" borderId="0" xfId="0" applyNumberFormat="1" applyFont="1" applyFill="1"/>
    <xf numFmtId="2" fontId="52" fillId="13" borderId="0" xfId="0" applyNumberFormat="1" applyFont="1" applyFill="1" applyAlignment="1">
      <alignment horizontal="center"/>
    </xf>
    <xf numFmtId="0" fontId="54" fillId="13" borderId="0" xfId="0" applyFont="1" applyFill="1" applyAlignment="1">
      <alignment horizontal="right"/>
    </xf>
    <xf numFmtId="0" fontId="54" fillId="13" borderId="0" xfId="0" quotePrefix="1" applyFont="1" applyFill="1"/>
    <xf numFmtId="2" fontId="54" fillId="13" borderId="0" xfId="0" applyNumberFormat="1" applyFont="1" applyFill="1" applyAlignment="1">
      <alignment horizontal="center"/>
    </xf>
    <xf numFmtId="0" fontId="52" fillId="13" borderId="0" xfId="0" quotePrefix="1" applyFont="1" applyFill="1"/>
    <xf numFmtId="0" fontId="54" fillId="13" borderId="0" xfId="0" applyFont="1" applyFill="1" applyAlignment="1">
      <alignment horizontal="center"/>
    </xf>
    <xf numFmtId="0" fontId="52" fillId="13" borderId="0" xfId="0" quotePrefix="1" applyFont="1" applyFill="1" applyAlignment="1">
      <alignment horizontal="center" vertical="center"/>
    </xf>
    <xf numFmtId="0" fontId="52" fillId="13" borderId="0" xfId="0" applyFont="1" applyFill="1" applyAlignment="1">
      <alignment horizontal="center" vertical="center"/>
    </xf>
    <xf numFmtId="0" fontId="52" fillId="13" borderId="3" xfId="0" applyFont="1" applyFill="1" applyBorder="1" applyAlignment="1">
      <alignment horizontal="center" vertical="center"/>
    </xf>
    <xf numFmtId="0" fontId="52" fillId="12" borderId="0" xfId="0" applyFont="1" applyFill="1" applyAlignment="1">
      <alignment horizontal="left"/>
    </xf>
    <xf numFmtId="0" fontId="52" fillId="12" borderId="3" xfId="0" applyFont="1" applyFill="1" applyBorder="1" applyAlignment="1">
      <alignment horizontal="left"/>
    </xf>
    <xf numFmtId="0" fontId="52" fillId="12" borderId="4" xfId="0" applyFont="1" applyFill="1" applyBorder="1"/>
    <xf numFmtId="0" fontId="52" fillId="12" borderId="3" xfId="0" applyFont="1" applyFill="1" applyBorder="1"/>
    <xf numFmtId="0" fontId="52" fillId="12" borderId="5" xfId="0" applyFont="1" applyFill="1" applyBorder="1"/>
    <xf numFmtId="0" fontId="52" fillId="12" borderId="6" xfId="0" applyFont="1" applyFill="1" applyBorder="1"/>
    <xf numFmtId="0" fontId="52" fillId="12" borderId="0" xfId="0" applyFont="1" applyFill="1" applyAlignment="1">
      <alignment horizontal="center" vertical="top"/>
    </xf>
    <xf numFmtId="0" fontId="52" fillId="12" borderId="1" xfId="0" applyFont="1" applyFill="1" applyBorder="1"/>
    <xf numFmtId="0" fontId="52" fillId="13" borderId="0" xfId="0" quotePrefix="1" applyFont="1" applyFill="1" applyAlignment="1">
      <alignment horizontal="center"/>
    </xf>
    <xf numFmtId="0" fontId="52" fillId="12" borderId="6" xfId="0" applyFont="1" applyFill="1" applyBorder="1" applyAlignment="1">
      <alignment horizontal="center"/>
    </xf>
    <xf numFmtId="0" fontId="52" fillId="12" borderId="1" xfId="0" applyFont="1" applyFill="1" applyBorder="1" applyAlignment="1">
      <alignment horizontal="center"/>
    </xf>
    <xf numFmtId="0" fontId="52" fillId="14" borderId="4" xfId="0" applyFont="1" applyFill="1" applyBorder="1" applyAlignment="1">
      <alignment horizontal="center"/>
    </xf>
    <xf numFmtId="0" fontId="52" fillId="14" borderId="11" xfId="0" applyFont="1" applyFill="1" applyBorder="1" applyAlignment="1">
      <alignment horizontal="center"/>
    </xf>
    <xf numFmtId="0" fontId="52" fillId="12" borderId="11" xfId="0" applyFont="1" applyFill="1" applyBorder="1"/>
    <xf numFmtId="0" fontId="52" fillId="12" borderId="2" xfId="0" applyFont="1" applyFill="1" applyBorder="1"/>
    <xf numFmtId="0" fontId="52" fillId="12" borderId="12" xfId="0" applyFont="1" applyFill="1" applyBorder="1"/>
    <xf numFmtId="0" fontId="52" fillId="12" borderId="0" xfId="0" applyFont="1" applyFill="1" applyAlignment="1">
      <alignment vertical="center"/>
    </xf>
    <xf numFmtId="0" fontId="52" fillId="8" borderId="0" xfId="0" applyFont="1" applyFill="1" applyAlignment="1">
      <alignment horizontal="left" vertical="center"/>
    </xf>
    <xf numFmtId="0" fontId="52" fillId="14" borderId="9" xfId="0" applyFont="1" applyFill="1" applyBorder="1"/>
    <xf numFmtId="0" fontId="52" fillId="14" borderId="4" xfId="0" applyFont="1" applyFill="1" applyBorder="1"/>
    <xf numFmtId="0" fontId="52" fillId="14" borderId="5" xfId="0" applyFont="1" applyFill="1" applyBorder="1"/>
    <xf numFmtId="0" fontId="52" fillId="14" borderId="3" xfId="0" applyFont="1" applyFill="1" applyBorder="1"/>
    <xf numFmtId="0" fontId="52" fillId="14" borderId="11" xfId="0" applyFont="1" applyFill="1" applyBorder="1"/>
    <xf numFmtId="0" fontId="52" fillId="14" borderId="12" xfId="0" applyFont="1" applyFill="1" applyBorder="1"/>
    <xf numFmtId="0" fontId="52" fillId="14" borderId="2" xfId="0" applyFont="1" applyFill="1" applyBorder="1"/>
    <xf numFmtId="0" fontId="52" fillId="13" borderId="0" xfId="0" applyFont="1" applyFill="1" applyAlignment="1">
      <alignment horizontal="center"/>
    </xf>
    <xf numFmtId="0" fontId="52" fillId="13" borderId="3" xfId="0" applyFont="1" applyFill="1" applyBorder="1" applyAlignment="1">
      <alignment horizontal="center"/>
    </xf>
    <xf numFmtId="0" fontId="54" fillId="13" borderId="0" xfId="0" applyFont="1" applyFill="1" applyAlignment="1">
      <alignment horizontal="center" vertical="center"/>
    </xf>
    <xf numFmtId="0" fontId="52" fillId="13" borderId="0" xfId="0" applyFont="1" applyFill="1" applyAlignment="1">
      <alignment horizontal="left" vertical="center"/>
    </xf>
    <xf numFmtId="0" fontId="52" fillId="5" borderId="0" xfId="0" applyFont="1" applyFill="1"/>
    <xf numFmtId="0" fontId="52" fillId="5" borderId="9" xfId="0" applyFont="1" applyFill="1" applyBorder="1" applyAlignment="1">
      <alignment vertical="center"/>
    </xf>
    <xf numFmtId="0" fontId="52" fillId="5" borderId="0" xfId="0" applyFont="1" applyFill="1" applyAlignment="1">
      <alignment horizontal="center" vertical="center"/>
    </xf>
    <xf numFmtId="0" fontId="52" fillId="5" borderId="0" xfId="0" applyFont="1" applyFill="1" applyAlignment="1">
      <alignment vertical="center"/>
    </xf>
    <xf numFmtId="164" fontId="52" fillId="5" borderId="3" xfId="0" applyNumberFormat="1" applyFont="1" applyFill="1" applyBorder="1" applyAlignment="1">
      <alignment vertical="center"/>
    </xf>
    <xf numFmtId="0" fontId="54" fillId="5" borderId="0" xfId="0" applyFont="1" applyFill="1" applyAlignment="1">
      <alignment horizontal="left" vertical="center"/>
    </xf>
    <xf numFmtId="0" fontId="54" fillId="5" borderId="0" xfId="0" applyFont="1" applyFill="1" applyAlignment="1">
      <alignment horizontal="center" vertical="center"/>
    </xf>
    <xf numFmtId="0" fontId="52" fillId="15" borderId="0" xfId="0" applyFont="1" applyFill="1"/>
    <xf numFmtId="2" fontId="52" fillId="15" borderId="0" xfId="0" applyNumberFormat="1" applyFont="1" applyFill="1"/>
    <xf numFmtId="0" fontId="52" fillId="15" borderId="0" xfId="0" quotePrefix="1" applyFont="1" applyFill="1"/>
    <xf numFmtId="0" fontId="52" fillId="16" borderId="0" xfId="0" applyFont="1" applyFill="1"/>
    <xf numFmtId="2" fontId="52" fillId="16" borderId="0" xfId="0" applyNumberFormat="1" applyFont="1" applyFill="1" applyAlignment="1">
      <alignment vertical="center"/>
    </xf>
    <xf numFmtId="0" fontId="54" fillId="16" borderId="0" xfId="0" applyFont="1" applyFill="1" applyAlignment="1">
      <alignment horizontal="center" vertical="center"/>
    </xf>
    <xf numFmtId="0" fontId="52" fillId="16" borderId="3" xfId="0" applyFont="1" applyFill="1" applyBorder="1" applyAlignment="1">
      <alignment vertical="center"/>
    </xf>
    <xf numFmtId="0" fontId="52" fillId="16" borderId="0" xfId="0" applyFont="1" applyFill="1" applyAlignment="1">
      <alignment vertical="center"/>
    </xf>
    <xf numFmtId="0" fontId="52" fillId="17" borderId="0" xfId="0" applyFont="1" applyFill="1"/>
    <xf numFmtId="0" fontId="52" fillId="17" borderId="0" xfId="0" applyFont="1" applyFill="1" applyAlignment="1">
      <alignment vertical="center"/>
    </xf>
    <xf numFmtId="0" fontId="52" fillId="17" borderId="3" xfId="0" applyFont="1" applyFill="1" applyBorder="1" applyAlignment="1">
      <alignment vertical="center"/>
    </xf>
    <xf numFmtId="1" fontId="52" fillId="17" borderId="0" xfId="0" applyNumberFormat="1" applyFont="1" applyFill="1" applyAlignment="1">
      <alignment vertical="center"/>
    </xf>
    <xf numFmtId="1" fontId="54" fillId="17" borderId="0" xfId="0" applyNumberFormat="1" applyFont="1" applyFill="1" applyAlignment="1">
      <alignment horizontal="center"/>
    </xf>
    <xf numFmtId="2" fontId="54" fillId="17" borderId="0" xfId="0" applyNumberFormat="1" applyFont="1" applyFill="1" applyAlignment="1">
      <alignment horizontal="center" vertical="center"/>
    </xf>
    <xf numFmtId="0" fontId="52" fillId="8" borderId="0" xfId="0" applyFont="1" applyFill="1" applyAlignment="1">
      <alignment vertical="center"/>
    </xf>
    <xf numFmtId="0" fontId="52" fillId="3" borderId="0" xfId="0" applyFont="1" applyFill="1"/>
    <xf numFmtId="0" fontId="52" fillId="3" borderId="0" xfId="0" applyFont="1" applyFill="1" applyAlignment="1">
      <alignment vertical="center"/>
    </xf>
    <xf numFmtId="0" fontId="54" fillId="3" borderId="0" xfId="0" applyFont="1" applyFill="1" applyAlignment="1">
      <alignment horizontal="center" vertical="center"/>
    </xf>
    <xf numFmtId="0" fontId="54" fillId="3" borderId="0" xfId="0" applyFont="1" applyFill="1" applyAlignment="1">
      <alignment vertical="center"/>
    </xf>
    <xf numFmtId="0" fontId="54" fillId="3" borderId="0" xfId="0" applyFont="1" applyFill="1" applyAlignment="1">
      <alignment horizontal="right" vertical="center"/>
    </xf>
    <xf numFmtId="0" fontId="54" fillId="3" borderId="0" xfId="0" quotePrefix="1" applyFont="1" applyFill="1" applyAlignment="1">
      <alignment vertical="center"/>
    </xf>
    <xf numFmtId="0" fontId="52" fillId="3" borderId="3" xfId="0" applyFont="1" applyFill="1" applyBorder="1" applyAlignment="1">
      <alignment vertical="center"/>
    </xf>
    <xf numFmtId="0" fontId="55" fillId="3" borderId="0" xfId="0" applyFont="1" applyFill="1"/>
    <xf numFmtId="1" fontId="52" fillId="3" borderId="0" xfId="0" applyNumberFormat="1" applyFont="1" applyFill="1" applyAlignment="1">
      <alignment vertical="center"/>
    </xf>
    <xf numFmtId="0" fontId="57" fillId="3" borderId="0" xfId="1" applyFont="1" applyFill="1" applyAlignment="1" applyProtection="1">
      <alignment horizontal="left"/>
    </xf>
    <xf numFmtId="2" fontId="54" fillId="3" borderId="0" xfId="0" applyNumberFormat="1" applyFont="1" applyFill="1" applyAlignment="1">
      <alignment horizontal="center"/>
    </xf>
    <xf numFmtId="0" fontId="54" fillId="3" borderId="0" xfId="0" applyFont="1" applyFill="1" applyAlignment="1">
      <alignment horizontal="center"/>
    </xf>
    <xf numFmtId="0" fontId="55" fillId="16" borderId="0" xfId="0" applyFont="1" applyFill="1"/>
    <xf numFmtId="1" fontId="52" fillId="16" borderId="0" xfId="0" applyNumberFormat="1" applyFont="1" applyFill="1" applyAlignment="1">
      <alignment vertical="center"/>
    </xf>
    <xf numFmtId="1" fontId="54" fillId="16" borderId="0" xfId="0" applyNumberFormat="1" applyFont="1" applyFill="1" applyAlignment="1">
      <alignment horizontal="center" vertical="center"/>
    </xf>
    <xf numFmtId="0" fontId="52" fillId="18" borderId="0" xfId="0" applyFont="1" applyFill="1"/>
    <xf numFmtId="0" fontId="52" fillId="18" borderId="0" xfId="0" applyFont="1" applyFill="1" applyAlignment="1">
      <alignment vertical="center"/>
    </xf>
    <xf numFmtId="0" fontId="55" fillId="18" borderId="0" xfId="0" applyFont="1" applyFill="1" applyAlignment="1">
      <alignment vertical="center"/>
    </xf>
    <xf numFmtId="0" fontId="55" fillId="18" borderId="0" xfId="0" applyFont="1" applyFill="1" applyAlignment="1">
      <alignment horizontal="center" vertical="center"/>
    </xf>
    <xf numFmtId="0" fontId="52" fillId="18" borderId="0" xfId="0" applyFont="1" applyFill="1" applyAlignment="1">
      <alignment horizontal="center" vertical="center"/>
    </xf>
    <xf numFmtId="164" fontId="52" fillId="18" borderId="3" xfId="0" applyNumberFormat="1" applyFont="1" applyFill="1" applyBorder="1" applyAlignment="1">
      <alignment horizontal="center" vertical="center"/>
    </xf>
    <xf numFmtId="0" fontId="52" fillId="18" borderId="3" xfId="0" applyFont="1" applyFill="1" applyBorder="1" applyAlignment="1">
      <alignment horizontal="center" vertical="center"/>
    </xf>
    <xf numFmtId="0" fontId="52" fillId="18" borderId="0" xfId="0" quotePrefix="1" applyFont="1" applyFill="1" applyAlignment="1">
      <alignment horizontal="center" vertical="center"/>
    </xf>
    <xf numFmtId="1" fontId="54" fillId="18" borderId="0" xfId="0" applyNumberFormat="1" applyFont="1" applyFill="1" applyAlignment="1">
      <alignment horizontal="center"/>
    </xf>
    <xf numFmtId="0" fontId="52" fillId="19" borderId="0" xfId="0" applyFont="1" applyFill="1"/>
    <xf numFmtId="0" fontId="52" fillId="19" borderId="0" xfId="0" applyFont="1" applyFill="1" applyAlignment="1">
      <alignment vertical="center"/>
    </xf>
    <xf numFmtId="0" fontId="54" fillId="19" borderId="0" xfId="0" applyFont="1" applyFill="1" applyAlignment="1">
      <alignment horizontal="center" vertical="center"/>
    </xf>
    <xf numFmtId="1" fontId="54" fillId="19" borderId="0" xfId="0" applyNumberFormat="1" applyFont="1" applyFill="1" applyAlignment="1">
      <alignment horizontal="center"/>
    </xf>
    <xf numFmtId="0" fontId="52" fillId="29" borderId="0" xfId="0" applyFont="1" applyFill="1"/>
    <xf numFmtId="0" fontId="54" fillId="29" borderId="0" xfId="0" applyFont="1" applyFill="1" applyAlignment="1">
      <alignment vertical="center"/>
    </xf>
    <xf numFmtId="0" fontId="52" fillId="29" borderId="0" xfId="0" applyFont="1" applyFill="1" applyAlignment="1">
      <alignment vertical="center"/>
    </xf>
    <xf numFmtId="0" fontId="52" fillId="29" borderId="0" xfId="0" applyFont="1" applyFill="1" applyAlignment="1">
      <alignment horizontal="center" vertical="center"/>
    </xf>
    <xf numFmtId="0" fontId="52" fillId="29" borderId="0" xfId="0" quotePrefix="1" applyFont="1" applyFill="1" applyAlignment="1">
      <alignment vertical="center"/>
    </xf>
    <xf numFmtId="0" fontId="52" fillId="29" borderId="0" xfId="0" applyFont="1" applyFill="1" applyAlignment="1">
      <alignment horizontal="right" vertical="center"/>
    </xf>
    <xf numFmtId="0" fontId="52" fillId="29" borderId="2" xfId="0" applyFont="1" applyFill="1" applyBorder="1" applyAlignment="1">
      <alignment vertical="center"/>
    </xf>
    <xf numFmtId="0" fontId="52" fillId="29" borderId="2" xfId="0" quotePrefix="1" applyFont="1" applyFill="1" applyBorder="1" applyAlignment="1">
      <alignment vertical="center"/>
    </xf>
    <xf numFmtId="0" fontId="53" fillId="29" borderId="0" xfId="0" applyFont="1" applyFill="1" applyAlignment="1">
      <alignment vertical="center"/>
    </xf>
    <xf numFmtId="2" fontId="52" fillId="29" borderId="0" xfId="0" applyNumberFormat="1" applyFont="1" applyFill="1" applyAlignment="1">
      <alignment vertical="center"/>
    </xf>
    <xf numFmtId="2" fontId="55" fillId="29" borderId="0" xfId="0" applyNumberFormat="1" applyFont="1" applyFill="1" applyAlignment="1">
      <alignment horizontal="center" vertical="center"/>
    </xf>
    <xf numFmtId="0" fontId="52" fillId="29" borderId="0" xfId="0" applyFont="1" applyFill="1" applyAlignment="1">
      <alignment horizontal="left" vertical="center"/>
    </xf>
    <xf numFmtId="0" fontId="52" fillId="29" borderId="2" xfId="0" applyFont="1" applyFill="1" applyBorder="1"/>
    <xf numFmtId="164" fontId="52" fillId="29" borderId="0" xfId="0" applyNumberFormat="1" applyFont="1" applyFill="1" applyAlignment="1">
      <alignment vertical="center"/>
    </xf>
    <xf numFmtId="0" fontId="53" fillId="29" borderId="0" xfId="0" applyFont="1" applyFill="1" applyAlignment="1">
      <alignment horizontal="center" vertical="center"/>
    </xf>
    <xf numFmtId="0" fontId="52" fillId="29" borderId="2" xfId="0" applyFont="1" applyFill="1" applyBorder="1" applyAlignment="1">
      <alignment horizontal="center" vertical="center"/>
    </xf>
    <xf numFmtId="0" fontId="52" fillId="29" borderId="0" xfId="0" applyFont="1" applyFill="1" applyAlignment="1">
      <alignment horizontal="center"/>
    </xf>
    <xf numFmtId="164" fontId="52" fillId="29" borderId="0" xfId="0" applyNumberFormat="1" applyFont="1" applyFill="1" applyAlignment="1">
      <alignment horizontal="center" vertical="center"/>
    </xf>
    <xf numFmtId="166" fontId="52" fillId="29" borderId="0" xfId="0" applyNumberFormat="1" applyFont="1" applyFill="1" applyAlignment="1">
      <alignment horizontal="center" vertical="center"/>
    </xf>
    <xf numFmtId="0" fontId="53" fillId="29" borderId="0" xfId="0" applyFont="1" applyFill="1" applyAlignment="1">
      <alignment horizontal="right" vertical="center"/>
    </xf>
    <xf numFmtId="2" fontId="52" fillId="12" borderId="0" xfId="0" applyNumberFormat="1" applyFont="1" applyFill="1"/>
    <xf numFmtId="1" fontId="53" fillId="12" borderId="0" xfId="0" applyNumberFormat="1" applyFont="1" applyFill="1"/>
    <xf numFmtId="0" fontId="52" fillId="12" borderId="0" xfId="0" applyFont="1" applyFill="1" applyAlignment="1">
      <alignment horizontal="right" wrapText="1"/>
    </xf>
    <xf numFmtId="0" fontId="52" fillId="12" borderId="0" xfId="0" applyFont="1" applyFill="1" applyAlignment="1">
      <alignment wrapText="1"/>
    </xf>
    <xf numFmtId="1" fontId="52" fillId="12" borderId="0" xfId="0" applyNumberFormat="1" applyFont="1" applyFill="1"/>
    <xf numFmtId="0" fontId="52" fillId="19" borderId="0" xfId="0" applyFont="1" applyFill="1" applyAlignment="1">
      <alignment horizontal="right" vertical="center"/>
    </xf>
    <xf numFmtId="0" fontId="55" fillId="10" borderId="0" xfId="0" applyFont="1" applyFill="1" applyAlignment="1">
      <alignment horizontal="center"/>
    </xf>
    <xf numFmtId="0" fontId="55" fillId="6" borderId="0" xfId="0" applyFont="1" applyFill="1" applyAlignment="1">
      <alignment horizontal="center"/>
    </xf>
    <xf numFmtId="0" fontId="54" fillId="6" borderId="0" xfId="0" applyFont="1" applyFill="1" applyAlignment="1">
      <alignment horizontal="left"/>
    </xf>
    <xf numFmtId="0" fontId="54" fillId="6" borderId="0" xfId="0" applyFont="1" applyFill="1"/>
    <xf numFmtId="0" fontId="54" fillId="11" borderId="0" xfId="0" applyFont="1" applyFill="1" applyAlignment="1">
      <alignment horizontal="left"/>
    </xf>
    <xf numFmtId="2" fontId="54" fillId="11" borderId="0" xfId="0" applyNumberFormat="1" applyFont="1" applyFill="1" applyAlignment="1">
      <alignment horizontal="center"/>
    </xf>
    <xf numFmtId="0" fontId="54" fillId="11" borderId="0" xfId="0" applyFont="1" applyFill="1"/>
    <xf numFmtId="1" fontId="54" fillId="11" borderId="0" xfId="0" applyNumberFormat="1" applyFont="1" applyFill="1" applyAlignment="1">
      <alignment horizontal="center"/>
    </xf>
    <xf numFmtId="0" fontId="54" fillId="11" borderId="0" xfId="0" applyFont="1" applyFill="1" applyAlignment="1">
      <alignment horizontal="center"/>
    </xf>
    <xf numFmtId="0" fontId="54" fillId="11" borderId="0" xfId="0" quotePrefix="1" applyFont="1" applyFill="1"/>
    <xf numFmtId="0" fontId="55" fillId="11" borderId="0" xfId="0" applyFont="1" applyFill="1" applyAlignment="1">
      <alignment horizontal="center"/>
    </xf>
    <xf numFmtId="0" fontId="55" fillId="11" borderId="1" xfId="0" applyFont="1" applyFill="1" applyBorder="1"/>
    <xf numFmtId="0" fontId="55" fillId="11" borderId="0" xfId="0" applyFont="1" applyFill="1"/>
    <xf numFmtId="0" fontId="54" fillId="8" borderId="0" xfId="0" applyFont="1" applyFill="1" applyAlignment="1">
      <alignment horizontal="left"/>
    </xf>
    <xf numFmtId="0" fontId="54" fillId="12" borderId="0" xfId="0" applyFont="1" applyFill="1"/>
    <xf numFmtId="0" fontId="55" fillId="12" borderId="0" xfId="0" applyFont="1" applyFill="1" applyAlignment="1">
      <alignment horizontal="right"/>
    </xf>
    <xf numFmtId="0" fontId="55" fillId="12" borderId="0" xfId="0" quotePrefix="1" applyFont="1" applyFill="1" applyAlignment="1">
      <alignment horizontal="center"/>
    </xf>
    <xf numFmtId="0" fontId="52" fillId="12" borderId="2" xfId="0" applyFont="1" applyFill="1" applyBorder="1" applyAlignment="1">
      <alignment horizontal="center" vertical="top"/>
    </xf>
    <xf numFmtId="0" fontId="55" fillId="10" borderId="0" xfId="0" applyFont="1" applyFill="1"/>
    <xf numFmtId="0" fontId="55" fillId="12" borderId="0" xfId="0" quotePrefix="1" applyFont="1" applyFill="1" applyAlignment="1">
      <alignment horizontal="center" vertical="center"/>
    </xf>
    <xf numFmtId="0" fontId="52" fillId="12" borderId="0" xfId="0" quotePrefix="1" applyFont="1" applyFill="1" applyAlignment="1">
      <alignment horizontal="center" vertical="top"/>
    </xf>
    <xf numFmtId="0" fontId="54" fillId="12" borderId="0" xfId="0" applyFont="1" applyFill="1" applyAlignment="1">
      <alignment horizontal="right" vertical="center"/>
    </xf>
    <xf numFmtId="0" fontId="54" fillId="8" borderId="0" xfId="0" applyFont="1" applyFill="1" applyAlignment="1">
      <alignment horizontal="right"/>
    </xf>
    <xf numFmtId="0" fontId="55" fillId="8" borderId="0" xfId="0" quotePrefix="1" applyFont="1" applyFill="1" applyAlignment="1">
      <alignment horizontal="center"/>
    </xf>
    <xf numFmtId="165" fontId="54" fillId="8" borderId="0" xfId="0" applyNumberFormat="1" applyFont="1" applyFill="1" applyAlignment="1">
      <alignment horizontal="center"/>
    </xf>
    <xf numFmtId="0" fontId="55" fillId="13" borderId="0" xfId="0" applyFont="1" applyFill="1" applyAlignment="1">
      <alignment vertical="center"/>
    </xf>
    <xf numFmtId="0" fontId="55" fillId="13" borderId="0" xfId="0" applyFont="1" applyFill="1" applyAlignment="1">
      <alignment horizontal="center" vertical="center"/>
    </xf>
    <xf numFmtId="0" fontId="55" fillId="13" borderId="0" xfId="0" quotePrefix="1" applyFont="1" applyFill="1" applyAlignment="1">
      <alignment vertical="center"/>
    </xf>
    <xf numFmtId="0" fontId="55" fillId="13" borderId="0" xfId="0" applyFont="1" applyFill="1"/>
    <xf numFmtId="0" fontId="64" fillId="13" borderId="0" xfId="0" applyFont="1" applyFill="1" applyAlignment="1">
      <alignment vertical="center"/>
    </xf>
    <xf numFmtId="0" fontId="55" fillId="13" borderId="0" xfId="0" quotePrefix="1" applyFont="1" applyFill="1" applyAlignment="1">
      <alignment horizontal="center" vertical="center"/>
    </xf>
    <xf numFmtId="2" fontId="55" fillId="13" borderId="0" xfId="0" applyNumberFormat="1" applyFont="1" applyFill="1" applyAlignment="1">
      <alignment horizontal="center"/>
    </xf>
    <xf numFmtId="0" fontId="55" fillId="13" borderId="0" xfId="0" quotePrefix="1" applyFont="1" applyFill="1"/>
    <xf numFmtId="0" fontId="55" fillId="13" borderId="0" xfId="0" applyFont="1" applyFill="1" applyAlignment="1">
      <alignment horizontal="center"/>
    </xf>
    <xf numFmtId="2" fontId="55" fillId="13" borderId="0" xfId="0" applyNumberFormat="1" applyFont="1" applyFill="1" applyAlignment="1">
      <alignment horizontal="center" vertical="center"/>
    </xf>
    <xf numFmtId="0" fontId="55" fillId="13" borderId="0" xfId="0" applyFont="1" applyFill="1" applyAlignment="1">
      <alignment horizontal="left" vertical="center"/>
    </xf>
    <xf numFmtId="0" fontId="62" fillId="13" borderId="0" xfId="0" applyFont="1" applyFill="1" applyAlignment="1">
      <alignment vertical="center"/>
    </xf>
    <xf numFmtId="0" fontId="55" fillId="13" borderId="3" xfId="0" quotePrefix="1" applyFont="1" applyFill="1" applyBorder="1" applyAlignment="1">
      <alignment horizontal="center" vertical="center"/>
    </xf>
    <xf numFmtId="0" fontId="55" fillId="13" borderId="3" xfId="0" applyFont="1" applyFill="1" applyBorder="1" applyAlignment="1">
      <alignment horizontal="center" vertical="center"/>
    </xf>
    <xf numFmtId="0" fontId="55" fillId="14" borderId="4" xfId="0" applyFont="1" applyFill="1" applyBorder="1" applyAlignment="1">
      <alignment vertical="center"/>
    </xf>
    <xf numFmtId="0" fontId="55" fillId="14" borderId="3" xfId="0" applyFont="1" applyFill="1" applyBorder="1" applyAlignment="1">
      <alignment vertical="center"/>
    </xf>
    <xf numFmtId="0" fontId="55" fillId="8" borderId="0" xfId="0" applyFont="1" applyFill="1"/>
    <xf numFmtId="0" fontId="55" fillId="14" borderId="3" xfId="0" applyFont="1" applyFill="1" applyBorder="1" applyAlignment="1">
      <alignment horizontal="center" vertical="center"/>
    </xf>
    <xf numFmtId="0" fontId="55" fillId="14" borderId="4" xfId="0" applyFont="1" applyFill="1" applyBorder="1" applyAlignment="1">
      <alignment horizontal="center" vertical="center"/>
    </xf>
    <xf numFmtId="0" fontId="55" fillId="14" borderId="4" xfId="0" quotePrefix="1" applyFont="1" applyFill="1" applyBorder="1" applyAlignment="1">
      <alignment horizontal="center" vertical="center"/>
    </xf>
    <xf numFmtId="0" fontId="55" fillId="14" borderId="5" xfId="0" applyFont="1" applyFill="1" applyBorder="1"/>
    <xf numFmtId="0" fontId="55" fillId="14" borderId="11" xfId="0" applyFont="1" applyFill="1" applyBorder="1" applyAlignment="1">
      <alignment horizontal="center" vertical="center"/>
    </xf>
    <xf numFmtId="0" fontId="55" fillId="14" borderId="2" xfId="0" applyFont="1" applyFill="1" applyBorder="1" applyAlignment="1">
      <alignment horizontal="center" vertical="center"/>
    </xf>
    <xf numFmtId="0" fontId="55" fillId="14" borderId="6" xfId="0" quotePrefix="1" applyFont="1" applyFill="1" applyBorder="1" applyAlignment="1">
      <alignment horizontal="center" vertical="center"/>
    </xf>
    <xf numFmtId="0" fontId="55" fillId="14" borderId="12" xfId="0" applyFont="1" applyFill="1" applyBorder="1"/>
    <xf numFmtId="0" fontId="64" fillId="8" borderId="0" xfId="0" applyFont="1" applyFill="1" applyAlignment="1">
      <alignment vertical="center"/>
    </xf>
    <xf numFmtId="0" fontId="55" fillId="8" borderId="0" xfId="0" applyFont="1" applyFill="1" applyAlignment="1">
      <alignment vertical="center"/>
    </xf>
    <xf numFmtId="0" fontId="55" fillId="8" borderId="0" xfId="0" applyFont="1" applyFill="1" applyAlignment="1">
      <alignment horizontal="center" vertical="center"/>
    </xf>
    <xf numFmtId="0" fontId="55" fillId="8" borderId="0" xfId="0" quotePrefix="1" applyFont="1" applyFill="1" applyAlignment="1">
      <alignment vertical="center"/>
    </xf>
    <xf numFmtId="0" fontId="55" fillId="14" borderId="8" xfId="0" applyFont="1" applyFill="1" applyBorder="1"/>
    <xf numFmtId="0" fontId="55" fillId="14" borderId="9" xfId="0" applyFont="1" applyFill="1" applyBorder="1"/>
    <xf numFmtId="0" fontId="55" fillId="14" borderId="9" xfId="0" applyFont="1" applyFill="1" applyBorder="1" applyAlignment="1">
      <alignment horizontal="center" vertical="center"/>
    </xf>
    <xf numFmtId="0" fontId="55" fillId="14" borderId="10" xfId="0" applyFont="1" applyFill="1" applyBorder="1"/>
    <xf numFmtId="0" fontId="55" fillId="14" borderId="4" xfId="0" applyFont="1" applyFill="1" applyBorder="1"/>
    <xf numFmtId="0" fontId="55" fillId="14" borderId="3" xfId="0" applyFont="1" applyFill="1" applyBorder="1"/>
    <xf numFmtId="0" fontId="55" fillId="14" borderId="11" xfId="0" applyFont="1" applyFill="1" applyBorder="1"/>
    <xf numFmtId="0" fontId="55" fillId="14" borderId="2" xfId="0" applyFont="1" applyFill="1" applyBorder="1"/>
    <xf numFmtId="0" fontId="68" fillId="8" borderId="0" xfId="1" applyFont="1" applyFill="1" applyAlignment="1" applyProtection="1"/>
    <xf numFmtId="2" fontId="55" fillId="13" borderId="0" xfId="0" applyNumberFormat="1" applyFont="1" applyFill="1"/>
    <xf numFmtId="0" fontId="62" fillId="13" borderId="0" xfId="0" quotePrefix="1" applyFont="1" applyFill="1"/>
    <xf numFmtId="0" fontId="55" fillId="13" borderId="0" xfId="0" applyFont="1" applyFill="1" applyAlignment="1">
      <alignment horizontal="left"/>
    </xf>
    <xf numFmtId="0" fontId="54" fillId="5" borderId="0" xfId="0" applyFont="1" applyFill="1"/>
    <xf numFmtId="0" fontId="55" fillId="5" borderId="0" xfId="0" applyFont="1" applyFill="1" applyAlignment="1">
      <alignment vertical="center"/>
    </xf>
    <xf numFmtId="0" fontId="55" fillId="5" borderId="0" xfId="0" applyFont="1" applyFill="1" applyAlignment="1">
      <alignment horizontal="center" vertical="center"/>
    </xf>
    <xf numFmtId="0" fontId="55" fillId="5" borderId="0" xfId="0" applyFont="1" applyFill="1"/>
    <xf numFmtId="0" fontId="55" fillId="5" borderId="0" xfId="0" quotePrefix="1" applyFont="1" applyFill="1" applyAlignment="1">
      <alignment vertical="center"/>
    </xf>
    <xf numFmtId="0" fontId="64" fillId="5" borderId="0" xfId="0" applyFont="1" applyFill="1" applyAlignment="1">
      <alignment vertical="center"/>
    </xf>
    <xf numFmtId="0" fontId="55" fillId="5" borderId="0" xfId="0" applyFont="1" applyFill="1" applyAlignment="1">
      <alignment horizontal="right" vertical="center"/>
    </xf>
    <xf numFmtId="0" fontId="55" fillId="5" borderId="0" xfId="0" quotePrefix="1" applyFont="1" applyFill="1" applyAlignment="1">
      <alignment horizontal="center" vertical="center"/>
    </xf>
    <xf numFmtId="0" fontId="55" fillId="5" borderId="3" xfId="0" applyFont="1" applyFill="1" applyBorder="1" applyAlignment="1">
      <alignment horizontal="center" vertical="center"/>
    </xf>
    <xf numFmtId="0" fontId="55" fillId="5" borderId="3" xfId="0" applyFont="1" applyFill="1" applyBorder="1" applyAlignment="1">
      <alignment vertical="center"/>
    </xf>
    <xf numFmtId="0" fontId="55" fillId="15" borderId="0" xfId="0" applyFont="1" applyFill="1" applyAlignment="1">
      <alignment horizontal="center" vertical="center"/>
    </xf>
    <xf numFmtId="0" fontId="55" fillId="15" borderId="0" xfId="0" applyFont="1" applyFill="1"/>
    <xf numFmtId="0" fontId="55" fillId="15" borderId="0" xfId="0" quotePrefix="1" applyFont="1" applyFill="1" applyAlignment="1">
      <alignment vertical="center"/>
    </xf>
    <xf numFmtId="0" fontId="55" fillId="15" borderId="0" xfId="0" applyFont="1" applyFill="1" applyAlignment="1">
      <alignment horizontal="right"/>
    </xf>
    <xf numFmtId="0" fontId="55" fillId="15" borderId="0" xfId="0" applyFont="1" applyFill="1" applyAlignment="1">
      <alignment horizontal="center"/>
    </xf>
    <xf numFmtId="0" fontId="55" fillId="16" borderId="0" xfId="0" applyFont="1" applyFill="1" applyAlignment="1">
      <alignment vertical="center"/>
    </xf>
    <xf numFmtId="0" fontId="55" fillId="16" borderId="0" xfId="0" applyFont="1" applyFill="1" applyAlignment="1">
      <alignment horizontal="center" vertical="center"/>
    </xf>
    <xf numFmtId="0" fontId="55" fillId="16" borderId="0" xfId="0" applyFont="1" applyFill="1" applyAlignment="1">
      <alignment horizontal="left"/>
    </xf>
    <xf numFmtId="0" fontId="55" fillId="16" borderId="0" xfId="0" quotePrefix="1" applyFont="1" applyFill="1" applyAlignment="1">
      <alignment vertical="center"/>
    </xf>
    <xf numFmtId="0" fontId="64" fillId="16" borderId="0" xfId="0" applyFont="1" applyFill="1" applyAlignment="1">
      <alignment vertical="center"/>
    </xf>
    <xf numFmtId="0" fontId="55" fillId="16" borderId="0" xfId="0" quotePrefix="1" applyFont="1" applyFill="1" applyAlignment="1">
      <alignment horizontal="center" vertical="center"/>
    </xf>
    <xf numFmtId="0" fontId="55" fillId="16" borderId="0" xfId="0" applyFont="1" applyFill="1" applyAlignment="1">
      <alignment horizontal="right" vertical="center"/>
    </xf>
    <xf numFmtId="2" fontId="55" fillId="16" borderId="0" xfId="0" applyNumberFormat="1" applyFont="1" applyFill="1" applyAlignment="1">
      <alignment vertical="center"/>
    </xf>
    <xf numFmtId="0" fontId="62" fillId="16" borderId="0" xfId="0" quotePrefix="1" applyFont="1" applyFill="1" applyAlignment="1">
      <alignment vertical="center"/>
    </xf>
    <xf numFmtId="0" fontId="55" fillId="16" borderId="3" xfId="0" applyFont="1" applyFill="1" applyBorder="1" applyAlignment="1">
      <alignment horizontal="center" vertical="center"/>
    </xf>
    <xf numFmtId="0" fontId="55" fillId="16" borderId="0" xfId="0" applyFont="1" applyFill="1" applyAlignment="1">
      <alignment horizontal="left" vertical="center"/>
    </xf>
    <xf numFmtId="0" fontId="55" fillId="17" borderId="0" xfId="0" applyFont="1" applyFill="1" applyAlignment="1">
      <alignment vertical="center"/>
    </xf>
    <xf numFmtId="2" fontId="55" fillId="17" borderId="0" xfId="0" applyNumberFormat="1" applyFont="1" applyFill="1" applyAlignment="1">
      <alignment vertical="center"/>
    </xf>
    <xf numFmtId="0" fontId="55" fillId="17" borderId="0" xfId="0" applyFont="1" applyFill="1" applyAlignment="1">
      <alignment horizontal="right" vertical="center"/>
    </xf>
    <xf numFmtId="0" fontId="55" fillId="17" borderId="0" xfId="0" applyFont="1" applyFill="1" applyAlignment="1">
      <alignment horizontal="center" vertical="center"/>
    </xf>
    <xf numFmtId="0" fontId="55" fillId="17" borderId="0" xfId="0" quotePrefix="1" applyFont="1" applyFill="1" applyAlignment="1">
      <alignment horizontal="center" vertical="center"/>
    </xf>
    <xf numFmtId="0" fontId="55" fillId="17" borderId="0" xfId="0" applyFont="1" applyFill="1" applyAlignment="1">
      <alignment horizontal="left" vertical="center"/>
    </xf>
    <xf numFmtId="0" fontId="55" fillId="17" borderId="3" xfId="0" applyFont="1" applyFill="1" applyBorder="1" applyAlignment="1">
      <alignment horizontal="center" vertical="center"/>
    </xf>
    <xf numFmtId="0" fontId="54" fillId="17" borderId="0" xfId="0" applyFont="1" applyFill="1" applyAlignment="1">
      <alignment horizontal="right" vertical="center"/>
    </xf>
    <xf numFmtId="0" fontId="55" fillId="17" borderId="3" xfId="0" applyFont="1" applyFill="1" applyBorder="1" applyAlignment="1">
      <alignment horizontal="right" vertical="center"/>
    </xf>
    <xf numFmtId="164" fontId="55" fillId="17" borderId="3" xfId="0" applyNumberFormat="1" applyFont="1" applyFill="1" applyBorder="1" applyAlignment="1">
      <alignment vertical="center"/>
    </xf>
    <xf numFmtId="0" fontId="55" fillId="17" borderId="3" xfId="0" applyFont="1" applyFill="1" applyBorder="1" applyAlignment="1">
      <alignment vertical="center"/>
    </xf>
    <xf numFmtId="0" fontId="55" fillId="17" borderId="0" xfId="0" applyFont="1" applyFill="1" applyAlignment="1">
      <alignment vertical="top"/>
    </xf>
    <xf numFmtId="0" fontId="64" fillId="17" borderId="0" xfId="0" applyFont="1" applyFill="1" applyAlignment="1">
      <alignment vertical="center"/>
    </xf>
    <xf numFmtId="0" fontId="55" fillId="17" borderId="0" xfId="0" quotePrefix="1" applyFont="1" applyFill="1" applyAlignment="1">
      <alignment vertical="center"/>
    </xf>
    <xf numFmtId="0" fontId="55" fillId="17" borderId="2" xfId="0" applyFont="1" applyFill="1" applyBorder="1"/>
    <xf numFmtId="0" fontId="55" fillId="17" borderId="0" xfId="0" applyFont="1" applyFill="1"/>
    <xf numFmtId="0" fontId="55" fillId="17" borderId="2" xfId="0" applyFont="1" applyFill="1" applyBorder="1" applyAlignment="1">
      <alignment horizontal="center"/>
    </xf>
    <xf numFmtId="0" fontId="55" fillId="17" borderId="0" xfId="0" applyFont="1" applyFill="1" applyAlignment="1">
      <alignment horizontal="center"/>
    </xf>
    <xf numFmtId="0" fontId="55" fillId="17" borderId="0" xfId="0" applyFont="1" applyFill="1" applyAlignment="1">
      <alignment horizontal="right"/>
    </xf>
    <xf numFmtId="1" fontId="55" fillId="17" borderId="0" xfId="0" applyNumberFormat="1" applyFont="1" applyFill="1" applyAlignment="1">
      <alignment horizontal="center"/>
    </xf>
    <xf numFmtId="0" fontId="55" fillId="17" borderId="0" xfId="0" quotePrefix="1" applyFont="1" applyFill="1"/>
    <xf numFmtId="2" fontId="55" fillId="17" borderId="0" xfId="0" applyNumberFormat="1" applyFont="1" applyFill="1" applyAlignment="1">
      <alignment horizontal="center"/>
    </xf>
    <xf numFmtId="1" fontId="55" fillId="17" borderId="0" xfId="0" applyNumberFormat="1" applyFont="1" applyFill="1" applyAlignment="1">
      <alignment horizontal="left"/>
    </xf>
    <xf numFmtId="0" fontId="54" fillId="17" borderId="0" xfId="0" applyFont="1" applyFill="1" applyAlignment="1">
      <alignment horizontal="center"/>
    </xf>
    <xf numFmtId="0" fontId="55" fillId="3" borderId="0" xfId="0" applyFont="1" applyFill="1" applyAlignment="1">
      <alignment vertical="center"/>
    </xf>
    <xf numFmtId="0" fontId="55" fillId="3" borderId="0" xfId="0" applyFont="1" applyFill="1" applyAlignment="1">
      <alignment horizontal="center" vertical="center"/>
    </xf>
    <xf numFmtId="0" fontId="55" fillId="3" borderId="0" xfId="0" quotePrefix="1" applyFont="1" applyFill="1" applyAlignment="1">
      <alignment vertical="center"/>
    </xf>
    <xf numFmtId="0" fontId="64" fillId="3" borderId="0" xfId="0" applyFont="1" applyFill="1" applyAlignment="1">
      <alignment vertical="center"/>
    </xf>
    <xf numFmtId="0" fontId="55" fillId="3" borderId="0" xfId="0" applyFont="1" applyFill="1" applyAlignment="1">
      <alignment horizontal="right" vertical="center"/>
    </xf>
    <xf numFmtId="0" fontId="55" fillId="3" borderId="0" xfId="0" quotePrefix="1" applyFont="1" applyFill="1" applyAlignment="1">
      <alignment horizontal="center" vertical="center"/>
    </xf>
    <xf numFmtId="0" fontId="55" fillId="3" borderId="3" xfId="0" applyFont="1" applyFill="1" applyBorder="1" applyAlignment="1">
      <alignment horizontal="center" vertical="center"/>
    </xf>
    <xf numFmtId="0" fontId="55" fillId="3" borderId="3" xfId="0" applyFont="1" applyFill="1" applyBorder="1" applyAlignment="1">
      <alignment horizontal="right" vertical="center"/>
    </xf>
    <xf numFmtId="164" fontId="55" fillId="3" borderId="3" xfId="0" applyNumberFormat="1" applyFont="1" applyFill="1" applyBorder="1" applyAlignment="1">
      <alignment vertical="center"/>
    </xf>
    <xf numFmtId="0" fontId="55" fillId="3" borderId="3" xfId="0" applyFont="1" applyFill="1" applyBorder="1" applyAlignment="1">
      <alignment vertical="center"/>
    </xf>
    <xf numFmtId="0" fontId="55" fillId="3" borderId="2" xfId="0" applyFont="1" applyFill="1" applyBorder="1"/>
    <xf numFmtId="0" fontId="55" fillId="3" borderId="2" xfId="0" applyFont="1" applyFill="1" applyBorder="1" applyAlignment="1">
      <alignment horizontal="center"/>
    </xf>
    <xf numFmtId="0" fontId="55" fillId="3" borderId="0" xfId="0" applyFont="1" applyFill="1" applyAlignment="1">
      <alignment horizontal="center"/>
    </xf>
    <xf numFmtId="0" fontId="55" fillId="3" borderId="0" xfId="0" applyFont="1" applyFill="1" applyAlignment="1">
      <alignment horizontal="right"/>
    </xf>
    <xf numFmtId="1" fontId="55" fillId="3" borderId="0" xfId="0" applyNumberFormat="1" applyFont="1" applyFill="1" applyAlignment="1">
      <alignment horizontal="center"/>
    </xf>
    <xf numFmtId="0" fontId="55" fillId="3" borderId="0" xfId="0" quotePrefix="1" applyFont="1" applyFill="1"/>
    <xf numFmtId="2" fontId="55" fillId="3" borderId="0" xfId="0" applyNumberFormat="1" applyFont="1" applyFill="1" applyAlignment="1">
      <alignment horizontal="center"/>
    </xf>
    <xf numFmtId="0" fontId="54" fillId="3" borderId="0" xfId="0" applyFont="1" applyFill="1"/>
    <xf numFmtId="0" fontId="69" fillId="3" borderId="0" xfId="0" applyFont="1" applyFill="1"/>
    <xf numFmtId="0" fontId="55" fillId="16" borderId="3" xfId="0" applyFont="1" applyFill="1" applyBorder="1" applyAlignment="1">
      <alignment vertical="center"/>
    </xf>
    <xf numFmtId="164" fontId="55" fillId="16" borderId="3" xfId="0" applyNumberFormat="1" applyFont="1" applyFill="1" applyBorder="1" applyAlignment="1">
      <alignment vertical="center"/>
    </xf>
    <xf numFmtId="2" fontId="55" fillId="16" borderId="0" xfId="0" applyNumberFormat="1" applyFont="1" applyFill="1" applyAlignment="1">
      <alignment horizontal="center" vertical="center"/>
    </xf>
    <xf numFmtId="0" fontId="55" fillId="16" borderId="2" xfId="0" applyFont="1" applyFill="1" applyBorder="1"/>
    <xf numFmtId="0" fontId="55" fillId="16" borderId="2" xfId="0" applyFont="1" applyFill="1" applyBorder="1" applyAlignment="1">
      <alignment horizontal="center"/>
    </xf>
    <xf numFmtId="0" fontId="55" fillId="16" borderId="0" xfId="0" applyFont="1" applyFill="1" applyAlignment="1">
      <alignment horizontal="center"/>
    </xf>
    <xf numFmtId="0" fontId="55" fillId="16" borderId="0" xfId="0" applyFont="1" applyFill="1" applyAlignment="1">
      <alignment horizontal="right"/>
    </xf>
    <xf numFmtId="1" fontId="55" fillId="16" borderId="0" xfId="0" applyNumberFormat="1" applyFont="1" applyFill="1" applyAlignment="1">
      <alignment horizontal="center"/>
    </xf>
    <xf numFmtId="0" fontId="55" fillId="16" borderId="0" xfId="0" quotePrefix="1" applyFont="1" applyFill="1"/>
    <xf numFmtId="2" fontId="55" fillId="16" borderId="0" xfId="0" applyNumberFormat="1" applyFont="1" applyFill="1" applyAlignment="1">
      <alignment horizontal="center"/>
    </xf>
    <xf numFmtId="0" fontId="55" fillId="18" borderId="2" xfId="0" applyFont="1" applyFill="1" applyBorder="1" applyAlignment="1">
      <alignment horizontal="center" vertical="center"/>
    </xf>
    <xf numFmtId="0" fontId="55" fillId="18" borderId="3" xfId="0" applyFont="1" applyFill="1" applyBorder="1" applyAlignment="1">
      <alignment horizontal="center" vertical="center"/>
    </xf>
    <xf numFmtId="0" fontId="55" fillId="18" borderId="0" xfId="0" applyFont="1" applyFill="1" applyAlignment="1">
      <alignment horizontal="left" vertical="center"/>
    </xf>
    <xf numFmtId="0" fontId="55" fillId="18" borderId="2" xfId="0" applyFont="1" applyFill="1" applyBorder="1"/>
    <xf numFmtId="0" fontId="55" fillId="18" borderId="0" xfId="0" applyFont="1" applyFill="1"/>
    <xf numFmtId="0" fontId="55" fillId="18" borderId="2" xfId="0" applyFont="1" applyFill="1" applyBorder="1" applyAlignment="1">
      <alignment horizontal="center"/>
    </xf>
    <xf numFmtId="0" fontId="55" fillId="18" borderId="0" xfId="0" applyFont="1" applyFill="1" applyAlignment="1">
      <alignment horizontal="center"/>
    </xf>
    <xf numFmtId="0" fontId="55" fillId="18" borderId="0" xfId="0" applyFont="1" applyFill="1" applyAlignment="1">
      <alignment horizontal="right"/>
    </xf>
    <xf numFmtId="1" fontId="55" fillId="18" borderId="0" xfId="0" applyNumberFormat="1" applyFont="1" applyFill="1" applyAlignment="1">
      <alignment horizontal="center"/>
    </xf>
    <xf numFmtId="166" fontId="55" fillId="18" borderId="0" xfId="0" applyNumberFormat="1" applyFont="1" applyFill="1" applyAlignment="1">
      <alignment horizontal="center"/>
    </xf>
    <xf numFmtId="0" fontId="55" fillId="18" borderId="0" xfId="0" quotePrefix="1" applyFont="1" applyFill="1"/>
    <xf numFmtId="2" fontId="55" fillId="18" borderId="0" xfId="0" applyNumberFormat="1" applyFont="1" applyFill="1" applyAlignment="1">
      <alignment horizontal="center"/>
    </xf>
    <xf numFmtId="1" fontId="55" fillId="18" borderId="0" xfId="0" applyNumberFormat="1" applyFont="1" applyFill="1" applyAlignment="1">
      <alignment horizontal="left"/>
    </xf>
    <xf numFmtId="0" fontId="54" fillId="18" borderId="0" xfId="0" applyFont="1" applyFill="1" applyAlignment="1">
      <alignment horizontal="center"/>
    </xf>
    <xf numFmtId="0" fontId="55" fillId="19" borderId="0" xfId="0" applyFont="1" applyFill="1" applyAlignment="1">
      <alignment vertical="center"/>
    </xf>
    <xf numFmtId="0" fontId="55" fillId="19" borderId="0" xfId="0" applyFont="1" applyFill="1" applyAlignment="1">
      <alignment horizontal="center" vertical="center"/>
    </xf>
    <xf numFmtId="2" fontId="55" fillId="19" borderId="0" xfId="0" applyNumberFormat="1" applyFont="1" applyFill="1" applyAlignment="1">
      <alignment horizontal="center" vertical="center"/>
    </xf>
    <xf numFmtId="2" fontId="55" fillId="19" borderId="0" xfId="0" applyNumberFormat="1" applyFont="1" applyFill="1" applyAlignment="1">
      <alignment vertical="center"/>
    </xf>
    <xf numFmtId="0" fontId="55" fillId="19" borderId="2" xfId="0" applyFont="1" applyFill="1" applyBorder="1"/>
    <xf numFmtId="0" fontId="55" fillId="19" borderId="0" xfId="0" applyFont="1" applyFill="1"/>
    <xf numFmtId="0" fontId="55" fillId="19" borderId="2" xfId="0" applyFont="1" applyFill="1" applyBorder="1" applyAlignment="1">
      <alignment horizontal="center"/>
    </xf>
    <xf numFmtId="0" fontId="55" fillId="19" borderId="0" xfId="0" applyFont="1" applyFill="1" applyAlignment="1">
      <alignment horizontal="center"/>
    </xf>
    <xf numFmtId="0" fontId="55" fillId="19" borderId="0" xfId="0" applyFont="1" applyFill="1" applyAlignment="1">
      <alignment horizontal="right"/>
    </xf>
    <xf numFmtId="1" fontId="55" fillId="19" borderId="0" xfId="0" applyNumberFormat="1" applyFont="1" applyFill="1" applyAlignment="1">
      <alignment horizontal="center"/>
    </xf>
    <xf numFmtId="166" fontId="55" fillId="19" borderId="0" xfId="0" applyNumberFormat="1" applyFont="1" applyFill="1" applyAlignment="1">
      <alignment horizontal="center"/>
    </xf>
    <xf numFmtId="0" fontId="55" fillId="19" borderId="0" xfId="0" quotePrefix="1" applyFont="1" applyFill="1"/>
    <xf numFmtId="2" fontId="55" fillId="19" borderId="0" xfId="0" applyNumberFormat="1" applyFont="1" applyFill="1" applyAlignment="1">
      <alignment horizontal="center"/>
    </xf>
    <xf numFmtId="0" fontId="54" fillId="19" borderId="0" xfId="0" applyFont="1" applyFill="1" applyAlignment="1">
      <alignment horizontal="center"/>
    </xf>
    <xf numFmtId="0" fontId="64" fillId="19" borderId="0" xfId="0" applyFont="1" applyFill="1" applyAlignment="1">
      <alignment vertical="center"/>
    </xf>
    <xf numFmtId="0" fontId="55" fillId="19" borderId="0" xfId="0" quotePrefix="1" applyFont="1" applyFill="1" applyAlignment="1">
      <alignment vertical="center"/>
    </xf>
    <xf numFmtId="0" fontId="55" fillId="8" borderId="0" xfId="0" applyFont="1" applyFill="1" applyAlignment="1">
      <alignment horizontal="left" vertical="center"/>
    </xf>
    <xf numFmtId="0" fontId="55" fillId="29" borderId="0" xfId="0" applyFont="1" applyFill="1" applyAlignment="1">
      <alignment vertical="center"/>
    </xf>
    <xf numFmtId="0" fontId="55" fillId="29" borderId="0" xfId="0" applyFont="1" applyFill="1" applyAlignment="1">
      <alignment horizontal="center" vertical="center"/>
    </xf>
    <xf numFmtId="0" fontId="55" fillId="29" borderId="0" xfId="0" quotePrefix="1" applyFont="1" applyFill="1" applyAlignment="1">
      <alignment vertical="center"/>
    </xf>
    <xf numFmtId="0" fontId="55" fillId="29" borderId="0" xfId="0" applyFont="1" applyFill="1" applyAlignment="1">
      <alignment horizontal="right" vertical="center"/>
    </xf>
    <xf numFmtId="2" fontId="55" fillId="29" borderId="0" xfId="0" applyNumberFormat="1" applyFont="1" applyFill="1" applyAlignment="1">
      <alignment vertical="center"/>
    </xf>
    <xf numFmtId="0" fontId="68" fillId="29" borderId="0" xfId="1" applyFont="1" applyFill="1" applyAlignment="1" applyProtection="1"/>
    <xf numFmtId="0" fontId="55" fillId="29" borderId="0" xfId="0" applyFont="1" applyFill="1" applyAlignment="1">
      <alignment horizontal="left" vertical="center"/>
    </xf>
    <xf numFmtId="0" fontId="55" fillId="29" borderId="2" xfId="0" applyFont="1" applyFill="1" applyBorder="1"/>
    <xf numFmtId="0" fontId="55" fillId="29" borderId="0" xfId="0" applyFont="1" applyFill="1"/>
    <xf numFmtId="0" fontId="55" fillId="29" borderId="2" xfId="0" applyFont="1" applyFill="1" applyBorder="1" applyAlignment="1">
      <alignment horizontal="center"/>
    </xf>
    <xf numFmtId="0" fontId="55" fillId="29" borderId="0" xfId="0" applyFont="1" applyFill="1" applyAlignment="1">
      <alignment horizontal="center"/>
    </xf>
    <xf numFmtId="0" fontId="53" fillId="12" borderId="0" xfId="0" applyFont="1" applyFill="1" applyAlignment="1">
      <alignment horizontal="center"/>
    </xf>
    <xf numFmtId="2" fontId="52" fillId="29" borderId="2" xfId="0" applyNumberFormat="1" applyFont="1" applyFill="1" applyBorder="1" applyAlignment="1">
      <alignment horizontal="center"/>
    </xf>
    <xf numFmtId="2" fontId="52" fillId="29" borderId="2" xfId="0" applyNumberFormat="1" applyFont="1" applyFill="1" applyBorder="1" applyAlignment="1">
      <alignment horizontal="left" vertical="center"/>
    </xf>
    <xf numFmtId="0" fontId="72" fillId="16" borderId="0" xfId="0" applyFont="1" applyFill="1"/>
    <xf numFmtId="0" fontId="71" fillId="16" borderId="0" xfId="0" applyFont="1" applyFill="1" applyAlignment="1">
      <alignment vertical="center"/>
    </xf>
    <xf numFmtId="0" fontId="73" fillId="16" borderId="0" xfId="0" applyFont="1" applyFill="1" applyAlignment="1">
      <alignment vertical="center"/>
    </xf>
    <xf numFmtId="0" fontId="73" fillId="16" borderId="0" xfId="0" applyFont="1" applyFill="1" applyAlignment="1">
      <alignment horizontal="center" vertical="center"/>
    </xf>
    <xf numFmtId="0" fontId="71" fillId="15" borderId="0" xfId="0" applyFont="1" applyFill="1" applyAlignment="1">
      <alignment vertical="center"/>
    </xf>
    <xf numFmtId="0" fontId="73" fillId="15" borderId="0" xfId="0" applyFont="1" applyFill="1" applyAlignment="1">
      <alignment vertical="center"/>
    </xf>
    <xf numFmtId="0" fontId="73" fillId="15" borderId="0" xfId="0" applyFont="1" applyFill="1" applyAlignment="1">
      <alignment horizontal="center" vertical="center"/>
    </xf>
    <xf numFmtId="0" fontId="73" fillId="15" borderId="0" xfId="0" applyFont="1" applyFill="1"/>
    <xf numFmtId="0" fontId="71" fillId="5" borderId="0" xfId="0" applyFont="1" applyFill="1" applyAlignment="1">
      <alignment vertical="center"/>
    </xf>
    <xf numFmtId="0" fontId="73" fillId="5" borderId="0" xfId="0" applyFont="1" applyFill="1" applyAlignment="1">
      <alignment vertical="center"/>
    </xf>
    <xf numFmtId="0" fontId="70" fillId="13" borderId="0" xfId="0" applyFont="1" applyFill="1"/>
    <xf numFmtId="0" fontId="71" fillId="13" borderId="0" xfId="0" applyFont="1" applyFill="1" applyAlignment="1">
      <alignment vertical="center"/>
    </xf>
    <xf numFmtId="0" fontId="73" fillId="13" borderId="0" xfId="0" applyFont="1" applyFill="1" applyAlignment="1">
      <alignment vertical="center"/>
    </xf>
    <xf numFmtId="0" fontId="73" fillId="13" borderId="0" xfId="0" applyFont="1" applyFill="1" applyAlignment="1">
      <alignment horizontal="center" vertical="center"/>
    </xf>
    <xf numFmtId="0" fontId="72" fillId="13" borderId="0" xfId="0" applyFont="1" applyFill="1"/>
    <xf numFmtId="0" fontId="73" fillId="13" borderId="0" xfId="0" quotePrefix="1" applyFont="1" applyFill="1" applyAlignment="1">
      <alignment vertical="center"/>
    </xf>
    <xf numFmtId="0" fontId="73" fillId="13" borderId="0" xfId="0" applyFont="1" applyFill="1"/>
    <xf numFmtId="2" fontId="29" fillId="8" borderId="0" xfId="0" applyNumberFormat="1" applyFont="1" applyFill="1"/>
    <xf numFmtId="2" fontId="44" fillId="8" borderId="0" xfId="0" applyNumberFormat="1" applyFont="1" applyFill="1" applyAlignment="1">
      <alignment horizontal="center" vertical="center" wrapText="1"/>
    </xf>
    <xf numFmtId="2" fontId="75" fillId="6" borderId="0" xfId="0" applyNumberFormat="1" applyFont="1" applyFill="1" applyAlignment="1">
      <alignment horizontal="center"/>
    </xf>
    <xf numFmtId="2" fontId="29" fillId="8" borderId="0" xfId="0" applyNumberFormat="1" applyFont="1" applyFill="1" applyAlignment="1">
      <alignment horizontal="center"/>
    </xf>
    <xf numFmtId="2" fontId="1" fillId="13" borderId="0" xfId="0" applyNumberFormat="1" applyFont="1" applyFill="1" applyAlignment="1">
      <alignment horizontal="center" vertical="center" wrapText="1"/>
    </xf>
    <xf numFmtId="2" fontId="18" fillId="8" borderId="0" xfId="0" applyNumberFormat="1" applyFont="1" applyFill="1" applyAlignment="1">
      <alignment horizontal="center" vertical="center" wrapText="1"/>
    </xf>
    <xf numFmtId="2" fontId="18" fillId="8" borderId="0" xfId="0" applyNumberFormat="1" applyFont="1" applyFill="1" applyAlignment="1">
      <alignment horizontal="center" vertical="center"/>
    </xf>
    <xf numFmtId="0" fontId="71" fillId="17" borderId="0" xfId="0" applyFont="1" applyFill="1" applyAlignment="1">
      <alignment horizontal="center" vertical="center"/>
    </xf>
    <xf numFmtId="0" fontId="70" fillId="29" borderId="0" xfId="0" applyFont="1" applyFill="1" applyAlignment="1">
      <alignment horizontal="center"/>
    </xf>
    <xf numFmtId="0" fontId="71" fillId="19" borderId="0" xfId="0" applyFont="1" applyFill="1" applyAlignment="1">
      <alignment horizontal="center"/>
    </xf>
    <xf numFmtId="0" fontId="55" fillId="19" borderId="0" xfId="0" applyFont="1" applyFill="1" applyAlignment="1">
      <alignment horizontal="right" vertical="center"/>
    </xf>
    <xf numFmtId="1" fontId="55" fillId="19" borderId="0" xfId="0" applyNumberFormat="1" applyFont="1" applyFill="1" applyAlignment="1">
      <alignment horizontal="center"/>
    </xf>
    <xf numFmtId="0" fontId="59" fillId="12" borderId="0" xfId="0" applyFont="1" applyFill="1" applyAlignment="1">
      <alignment horizontal="center"/>
    </xf>
    <xf numFmtId="0" fontId="71" fillId="18" borderId="0" xfId="0" applyFont="1" applyFill="1" applyAlignment="1">
      <alignment horizontal="center" vertical="center"/>
    </xf>
    <xf numFmtId="0" fontId="71" fillId="16" borderId="0" xfId="0" applyFont="1" applyFill="1" applyAlignment="1">
      <alignment horizontal="center" vertical="center"/>
    </xf>
    <xf numFmtId="0" fontId="52" fillId="16" borderId="0" xfId="0" applyFont="1" applyFill="1" applyAlignment="1">
      <alignment horizontal="right" vertical="center"/>
    </xf>
    <xf numFmtId="0" fontId="52" fillId="12" borderId="0" xfId="0" applyFont="1" applyFill="1" applyAlignment="1">
      <alignment horizontal="center"/>
    </xf>
    <xf numFmtId="0" fontId="52" fillId="12" borderId="0" xfId="0" applyFont="1" applyFill="1" applyAlignment="1">
      <alignment horizontal="right"/>
    </xf>
    <xf numFmtId="0" fontId="52" fillId="12" borderId="0" xfId="0" applyFont="1" applyFill="1" applyAlignment="1">
      <alignment horizontal="left"/>
    </xf>
    <xf numFmtId="0" fontId="53" fillId="12" borderId="0" xfId="0" applyFont="1" applyFill="1" applyAlignment="1">
      <alignment horizontal="center" vertical="center" wrapText="1"/>
    </xf>
    <xf numFmtId="0" fontId="53" fillId="29" borderId="0" xfId="0" applyFont="1" applyFill="1" applyAlignment="1">
      <alignment horizontal="center" vertical="center"/>
    </xf>
    <xf numFmtId="0" fontId="52" fillId="29" borderId="0" xfId="0" applyFont="1" applyFill="1" applyAlignment="1">
      <alignment horizontal="center" vertical="center"/>
    </xf>
    <xf numFmtId="0" fontId="52" fillId="29" borderId="0" xfId="0" quotePrefix="1" applyFont="1" applyFill="1" applyAlignment="1">
      <alignment horizontal="center" vertical="center"/>
    </xf>
    <xf numFmtId="0" fontId="52" fillId="29" borderId="0" xfId="0" applyFont="1" applyFill="1" applyAlignment="1">
      <alignment horizontal="right" vertical="center"/>
    </xf>
    <xf numFmtId="0" fontId="55" fillId="29" borderId="0" xfId="0" applyFont="1" applyFill="1" applyAlignment="1">
      <alignment horizontal="right" vertical="center"/>
    </xf>
    <xf numFmtId="0" fontId="55" fillId="29" borderId="0" xfId="0" applyFont="1" applyFill="1" applyAlignment="1">
      <alignment horizontal="center" vertical="center"/>
    </xf>
    <xf numFmtId="0" fontId="55" fillId="29" borderId="0" xfId="0" quotePrefix="1" applyFont="1" applyFill="1" applyAlignment="1">
      <alignment horizontal="center" vertical="center"/>
    </xf>
    <xf numFmtId="166" fontId="54" fillId="29" borderId="0" xfId="0" applyNumberFormat="1" applyFont="1" applyFill="1" applyAlignment="1">
      <alignment horizontal="center" vertical="center"/>
    </xf>
    <xf numFmtId="0" fontId="55" fillId="29" borderId="3" xfId="0" applyFont="1" applyFill="1" applyBorder="1" applyAlignment="1">
      <alignment horizontal="left"/>
    </xf>
    <xf numFmtId="0" fontId="52" fillId="29" borderId="0" xfId="0" applyFont="1" applyFill="1" applyAlignment="1">
      <alignment horizontal="center" vertical="center" wrapText="1"/>
    </xf>
    <xf numFmtId="0" fontId="55" fillId="19" borderId="0" xfId="0" quotePrefix="1" applyFont="1" applyFill="1" applyAlignment="1">
      <alignment horizontal="center" vertical="center"/>
    </xf>
    <xf numFmtId="166" fontId="54" fillId="19" borderId="0" xfId="0" applyNumberFormat="1" applyFont="1" applyFill="1" applyAlignment="1">
      <alignment horizontal="center" vertical="center"/>
    </xf>
    <xf numFmtId="0" fontId="55" fillId="19" borderId="0" xfId="0" applyFont="1" applyFill="1" applyAlignment="1">
      <alignment horizontal="center" vertical="center"/>
    </xf>
    <xf numFmtId="0" fontId="55" fillId="19" borderId="3" xfId="0" applyFont="1" applyFill="1" applyBorder="1" applyAlignment="1">
      <alignment horizontal="left"/>
    </xf>
    <xf numFmtId="0" fontId="54" fillId="11" borderId="0" xfId="0" applyFont="1" applyFill="1" applyAlignment="1">
      <alignment horizontal="center"/>
    </xf>
    <xf numFmtId="0" fontId="53" fillId="11" borderId="0" xfId="0" applyFont="1" applyFill="1" applyAlignment="1">
      <alignment horizontal="center"/>
    </xf>
    <xf numFmtId="0" fontId="55" fillId="13" borderId="0" xfId="0" applyFont="1" applyFill="1" applyAlignment="1">
      <alignment horizontal="center" vertical="center"/>
    </xf>
    <xf numFmtId="0" fontId="55" fillId="5" borderId="0" xfId="0" applyFont="1" applyFill="1" applyAlignment="1">
      <alignment horizontal="center" vertical="center"/>
    </xf>
    <xf numFmtId="0" fontId="55" fillId="18" borderId="0" xfId="0" quotePrefix="1" applyFont="1" applyFill="1" applyAlignment="1">
      <alignment horizontal="center" vertical="center"/>
    </xf>
    <xf numFmtId="166" fontId="54" fillId="18" borderId="0" xfId="0" applyNumberFormat="1" applyFont="1" applyFill="1" applyAlignment="1">
      <alignment horizontal="center" vertical="center"/>
    </xf>
    <xf numFmtId="0" fontId="55" fillId="18" borderId="0" xfId="0" applyFont="1" applyFill="1" applyAlignment="1">
      <alignment horizontal="center" vertical="center"/>
    </xf>
    <xf numFmtId="0" fontId="55" fillId="18" borderId="3" xfId="0" applyFont="1" applyFill="1" applyBorder="1" applyAlignment="1">
      <alignment horizontal="left"/>
    </xf>
    <xf numFmtId="0" fontId="54" fillId="19" borderId="0" xfId="0" applyFont="1" applyFill="1" applyAlignment="1">
      <alignment horizontal="center" vertical="center"/>
    </xf>
    <xf numFmtId="0" fontId="55" fillId="19" borderId="3" xfId="0" applyFont="1" applyFill="1" applyBorder="1" applyAlignment="1">
      <alignment horizontal="center" vertical="center"/>
    </xf>
    <xf numFmtId="0" fontId="55" fillId="18" borderId="0" xfId="0" applyFont="1" applyFill="1" applyAlignment="1">
      <alignment horizontal="right" vertical="center"/>
    </xf>
    <xf numFmtId="0" fontId="52" fillId="18" borderId="0" xfId="0" applyFont="1" applyFill="1" applyAlignment="1">
      <alignment horizontal="center" vertical="center"/>
    </xf>
    <xf numFmtId="0" fontId="54" fillId="18" borderId="0" xfId="0" quotePrefix="1" applyFont="1" applyFill="1" applyAlignment="1">
      <alignment horizontal="center" vertical="center"/>
    </xf>
    <xf numFmtId="0" fontId="55" fillId="18" borderId="2" xfId="0" applyFont="1" applyFill="1" applyBorder="1" applyAlignment="1">
      <alignment horizontal="center" vertical="center"/>
    </xf>
    <xf numFmtId="0" fontId="55" fillId="16" borderId="0" xfId="0" quotePrefix="1" applyFont="1" applyFill="1" applyAlignment="1">
      <alignment horizontal="center" vertical="center"/>
    </xf>
    <xf numFmtId="1" fontId="54" fillId="16" borderId="0" xfId="0" applyNumberFormat="1" applyFont="1" applyFill="1" applyAlignment="1">
      <alignment horizontal="center" vertical="center"/>
    </xf>
    <xf numFmtId="0" fontId="55" fillId="16" borderId="0" xfId="0" applyFont="1" applyFill="1" applyAlignment="1">
      <alignment horizontal="left" vertical="center"/>
    </xf>
    <xf numFmtId="0" fontId="55" fillId="16" borderId="3" xfId="0" applyFont="1" applyFill="1" applyBorder="1" applyAlignment="1">
      <alignment horizontal="left"/>
    </xf>
    <xf numFmtId="0" fontId="55" fillId="16" borderId="0" xfId="0" applyFont="1" applyFill="1" applyAlignment="1">
      <alignment horizontal="center" vertical="center"/>
    </xf>
    <xf numFmtId="0" fontId="55" fillId="16" borderId="0" xfId="0" applyFont="1" applyFill="1" applyAlignment="1">
      <alignment horizontal="right" vertical="center"/>
    </xf>
    <xf numFmtId="0" fontId="52" fillId="16" borderId="0" xfId="0" applyFont="1" applyFill="1" applyAlignment="1">
      <alignment horizontal="center" vertical="center"/>
    </xf>
    <xf numFmtId="0" fontId="52" fillId="16" borderId="0" xfId="0" applyFont="1" applyFill="1" applyAlignment="1">
      <alignment horizontal="center"/>
    </xf>
    <xf numFmtId="0" fontId="52" fillId="16" borderId="0" xfId="0" quotePrefix="1" applyFont="1" applyFill="1" applyAlignment="1">
      <alignment horizontal="center" vertical="center"/>
    </xf>
    <xf numFmtId="1" fontId="52" fillId="16" borderId="0" xfId="0" applyNumberFormat="1" applyFont="1" applyFill="1" applyAlignment="1">
      <alignment horizontal="center" vertical="center"/>
    </xf>
    <xf numFmtId="0" fontId="55" fillId="3" borderId="0" xfId="0" quotePrefix="1" applyFont="1" applyFill="1" applyAlignment="1">
      <alignment horizontal="center" vertical="center"/>
    </xf>
    <xf numFmtId="1" fontId="54" fillId="3" borderId="0" xfId="0" applyNumberFormat="1" applyFont="1" applyFill="1" applyAlignment="1">
      <alignment horizontal="center" vertical="center"/>
    </xf>
    <xf numFmtId="0" fontId="55" fillId="3" borderId="0" xfId="0" applyFont="1" applyFill="1" applyAlignment="1">
      <alignment horizontal="center" vertical="center"/>
    </xf>
    <xf numFmtId="0" fontId="55" fillId="3" borderId="3" xfId="0" applyFont="1" applyFill="1" applyBorder="1" applyAlignment="1">
      <alignment horizontal="center"/>
    </xf>
    <xf numFmtId="0" fontId="55" fillId="3" borderId="3" xfId="0" applyFont="1" applyFill="1" applyBorder="1" applyAlignment="1">
      <alignment horizontal="left"/>
    </xf>
    <xf numFmtId="0" fontId="55" fillId="3" borderId="0" xfId="0" applyFont="1" applyFill="1" applyAlignment="1">
      <alignment horizontal="center"/>
    </xf>
    <xf numFmtId="0" fontId="52" fillId="3" borderId="0" xfId="0" applyFont="1" applyFill="1" applyAlignment="1">
      <alignment horizontal="right"/>
    </xf>
    <xf numFmtId="0" fontId="55" fillId="3" borderId="0" xfId="0" applyFont="1" applyFill="1" applyAlignment="1">
      <alignment horizontal="right" vertical="center"/>
    </xf>
    <xf numFmtId="1" fontId="55" fillId="3" borderId="0" xfId="0" applyNumberFormat="1" applyFont="1" applyFill="1" applyAlignment="1">
      <alignment horizontal="center" vertical="center"/>
    </xf>
    <xf numFmtId="0" fontId="52" fillId="3" borderId="0" xfId="0" applyFont="1" applyFill="1" applyAlignment="1">
      <alignment horizontal="center" vertical="center"/>
    </xf>
    <xf numFmtId="0" fontId="52" fillId="3" borderId="0" xfId="0" quotePrefix="1" applyFont="1" applyFill="1" applyAlignment="1">
      <alignment horizontal="center" vertical="center"/>
    </xf>
    <xf numFmtId="1" fontId="52" fillId="3" borderId="0" xfId="0" applyNumberFormat="1" applyFont="1" applyFill="1" applyAlignment="1">
      <alignment horizontal="center" vertical="center"/>
    </xf>
    <xf numFmtId="0" fontId="55" fillId="17" borderId="0" xfId="0" quotePrefix="1" applyFont="1" applyFill="1" applyAlignment="1">
      <alignment horizontal="center" vertical="center"/>
    </xf>
    <xf numFmtId="1" fontId="54" fillId="17" borderId="0" xfId="0" applyNumberFormat="1" applyFont="1" applyFill="1" applyAlignment="1">
      <alignment horizontal="center" vertical="center"/>
    </xf>
    <xf numFmtId="0" fontId="55" fillId="17" borderId="0" xfId="0" applyFont="1" applyFill="1" applyAlignment="1">
      <alignment horizontal="center" vertical="center"/>
    </xf>
    <xf numFmtId="0" fontId="55" fillId="17" borderId="3" xfId="0" applyFont="1" applyFill="1" applyBorder="1" applyAlignment="1">
      <alignment horizontal="left"/>
    </xf>
    <xf numFmtId="0" fontId="71" fillId="3" borderId="0" xfId="0" applyFont="1" applyFill="1" applyAlignment="1">
      <alignment horizontal="center" vertical="center"/>
    </xf>
    <xf numFmtId="0" fontId="55" fillId="17" borderId="0" xfId="0" applyFont="1" applyFill="1" applyAlignment="1">
      <alignment horizontal="right" vertical="center"/>
    </xf>
    <xf numFmtId="1" fontId="52" fillId="17" borderId="0" xfId="0" applyNumberFormat="1" applyFont="1" applyFill="1" applyAlignment="1">
      <alignment horizontal="center" vertical="center"/>
    </xf>
    <xf numFmtId="0" fontId="52" fillId="17" borderId="0" xfId="0" applyFont="1" applyFill="1" applyAlignment="1">
      <alignment horizontal="center" vertical="center"/>
    </xf>
    <xf numFmtId="0" fontId="55" fillId="17" borderId="0" xfId="0" applyFont="1" applyFill="1" applyAlignment="1">
      <alignment horizontal="left" vertical="center"/>
    </xf>
    <xf numFmtId="0" fontId="52" fillId="17" borderId="0" xfId="0" quotePrefix="1" applyFont="1" applyFill="1" applyAlignment="1">
      <alignment horizontal="center" vertical="center"/>
    </xf>
    <xf numFmtId="0" fontId="55" fillId="17" borderId="0" xfId="0" applyFont="1" applyFill="1" applyAlignment="1">
      <alignment vertical="center" wrapText="1"/>
    </xf>
    <xf numFmtId="0" fontId="55" fillId="17" borderId="0" xfId="0" applyFont="1" applyFill="1" applyAlignment="1">
      <alignment vertical="center"/>
    </xf>
    <xf numFmtId="0" fontId="54" fillId="13" borderId="0" xfId="0" applyFont="1" applyFill="1" applyAlignment="1">
      <alignment horizontal="center" vertical="center"/>
    </xf>
    <xf numFmtId="0" fontId="55" fillId="5" borderId="0" xfId="0" applyFont="1" applyFill="1" applyAlignment="1">
      <alignment horizontal="right" vertical="center"/>
    </xf>
    <xf numFmtId="0" fontId="55" fillId="5" borderId="0" xfId="0" quotePrefix="1" applyFont="1" applyFill="1" applyAlignment="1">
      <alignment horizontal="center" vertical="center"/>
    </xf>
    <xf numFmtId="0" fontId="52" fillId="5" borderId="0" xfId="0" applyFont="1" applyFill="1" applyAlignment="1">
      <alignment horizontal="center" vertical="center"/>
    </xf>
    <xf numFmtId="0" fontId="54" fillId="16" borderId="0" xfId="0" applyFont="1" applyFill="1" applyAlignment="1">
      <alignment horizontal="center" vertical="center"/>
    </xf>
    <xf numFmtId="0" fontId="55" fillId="16" borderId="3" xfId="0" applyFont="1" applyFill="1" applyBorder="1" applyAlignment="1">
      <alignment horizontal="center" vertical="center"/>
    </xf>
    <xf numFmtId="0" fontId="55" fillId="15" borderId="0" xfId="0" applyFont="1" applyFill="1" applyAlignment="1">
      <alignment horizontal="center" vertical="center"/>
    </xf>
    <xf numFmtId="0" fontId="54" fillId="15" borderId="0" xfId="0" applyFont="1" applyFill="1" applyAlignment="1">
      <alignment horizontal="center"/>
    </xf>
    <xf numFmtId="0" fontId="52" fillId="13" borderId="0" xfId="0" quotePrefix="1" applyFont="1" applyFill="1" applyAlignment="1">
      <alignment horizontal="center" vertical="center"/>
    </xf>
    <xf numFmtId="0" fontId="55" fillId="13" borderId="0" xfId="0" applyFont="1" applyFill="1" applyAlignment="1">
      <alignment horizontal="left" vertical="center"/>
    </xf>
    <xf numFmtId="0" fontId="52" fillId="13" borderId="3" xfId="0" applyFont="1" applyFill="1" applyBorder="1" applyAlignment="1">
      <alignment horizontal="center"/>
    </xf>
    <xf numFmtId="0" fontId="55" fillId="13" borderId="0" xfId="0" quotePrefix="1" applyFont="1" applyFill="1" applyAlignment="1">
      <alignment horizontal="center" vertical="center"/>
    </xf>
    <xf numFmtId="0" fontId="52" fillId="13" borderId="0" xfId="0" applyFont="1" applyFill="1" applyAlignment="1">
      <alignment horizontal="center" vertical="center"/>
    </xf>
    <xf numFmtId="0" fontId="52" fillId="14" borderId="3" xfId="0" applyFont="1" applyFill="1" applyBorder="1" applyAlignment="1">
      <alignment horizontal="center" vertical="center"/>
    </xf>
    <xf numFmtId="0" fontId="52" fillId="14" borderId="2" xfId="0" applyFont="1" applyFill="1" applyBorder="1" applyAlignment="1">
      <alignment horizontal="center" vertical="center"/>
    </xf>
    <xf numFmtId="0" fontId="52" fillId="13" borderId="0" xfId="0" applyFont="1" applyFill="1" applyAlignment="1">
      <alignment horizontal="center"/>
    </xf>
    <xf numFmtId="0" fontId="67" fillId="14" borderId="4" xfId="0" applyFont="1" applyFill="1" applyBorder="1" applyAlignment="1">
      <alignment horizontal="center" vertical="center"/>
    </xf>
    <xf numFmtId="0" fontId="67" fillId="14" borderId="3" xfId="0" applyFont="1" applyFill="1" applyBorder="1" applyAlignment="1">
      <alignment horizontal="center" vertical="center"/>
    </xf>
    <xf numFmtId="0" fontId="67" fillId="14" borderId="5" xfId="0" applyFont="1" applyFill="1" applyBorder="1" applyAlignment="1">
      <alignment horizontal="center" vertical="center"/>
    </xf>
    <xf numFmtId="0" fontId="67" fillId="14" borderId="11" xfId="0" applyFont="1" applyFill="1" applyBorder="1" applyAlignment="1">
      <alignment horizontal="center" vertical="center"/>
    </xf>
    <xf numFmtId="0" fontId="67" fillId="14" borderId="2" xfId="0" applyFont="1" applyFill="1" applyBorder="1" applyAlignment="1">
      <alignment horizontal="center" vertical="center"/>
    </xf>
    <xf numFmtId="0" fontId="67" fillId="14" borderId="12" xfId="0" applyFont="1" applyFill="1" applyBorder="1" applyAlignment="1">
      <alignment horizontal="center" vertical="center"/>
    </xf>
    <xf numFmtId="0" fontId="55" fillId="14" borderId="3" xfId="0" quotePrefix="1" applyFont="1" applyFill="1" applyBorder="1" applyAlignment="1">
      <alignment horizontal="center" vertical="center"/>
    </xf>
    <xf numFmtId="0" fontId="55" fillId="14" borderId="2" xfId="0" quotePrefix="1" applyFont="1" applyFill="1" applyBorder="1" applyAlignment="1">
      <alignment horizontal="center" vertical="center"/>
    </xf>
    <xf numFmtId="2" fontId="55" fillId="14" borderId="3" xfId="0" applyNumberFormat="1" applyFont="1" applyFill="1" applyBorder="1" applyAlignment="1">
      <alignment horizontal="center" vertical="center"/>
    </xf>
    <xf numFmtId="0" fontId="55" fillId="14" borderId="2" xfId="0" applyFont="1" applyFill="1" applyBorder="1" applyAlignment="1">
      <alignment horizontal="center" vertical="center"/>
    </xf>
    <xf numFmtId="0" fontId="55" fillId="14" borderId="3" xfId="0" applyFont="1" applyFill="1" applyBorder="1" applyAlignment="1">
      <alignment horizontal="center" vertical="center"/>
    </xf>
    <xf numFmtId="0" fontId="52" fillId="14" borderId="3" xfId="0" quotePrefix="1" applyFont="1" applyFill="1" applyBorder="1" applyAlignment="1">
      <alignment horizontal="center" vertical="center"/>
    </xf>
    <xf numFmtId="2" fontId="52" fillId="14" borderId="3" xfId="0" applyNumberFormat="1" applyFont="1" applyFill="1" applyBorder="1" applyAlignment="1">
      <alignment horizontal="center" vertical="center"/>
    </xf>
    <xf numFmtId="0" fontId="67" fillId="14" borderId="8" xfId="0" applyFont="1" applyFill="1" applyBorder="1" applyAlignment="1">
      <alignment horizontal="center" vertical="center"/>
    </xf>
    <xf numFmtId="0" fontId="67" fillId="14" borderId="9" xfId="0" applyFont="1" applyFill="1" applyBorder="1" applyAlignment="1">
      <alignment horizontal="center" vertical="center"/>
    </xf>
    <xf numFmtId="0" fontId="67" fillId="14" borderId="10" xfId="0" applyFont="1" applyFill="1" applyBorder="1" applyAlignment="1">
      <alignment horizontal="center" vertical="center"/>
    </xf>
    <xf numFmtId="0" fontId="52" fillId="14" borderId="8" xfId="0" applyFont="1" applyFill="1" applyBorder="1" applyAlignment="1">
      <alignment horizontal="center"/>
    </xf>
    <xf numFmtId="0" fontId="52" fillId="14" borderId="9" xfId="0" applyFont="1" applyFill="1" applyBorder="1" applyAlignment="1">
      <alignment horizontal="center"/>
    </xf>
    <xf numFmtId="0" fontId="52" fillId="14" borderId="10" xfId="0" applyFont="1" applyFill="1" applyBorder="1" applyAlignment="1">
      <alignment horizontal="center"/>
    </xf>
    <xf numFmtId="0" fontId="55" fillId="14" borderId="11" xfId="0" applyFont="1" applyFill="1" applyBorder="1" applyAlignment="1">
      <alignment horizontal="center" vertical="center"/>
    </xf>
    <xf numFmtId="0" fontId="55" fillId="14" borderId="12" xfId="0" applyFont="1" applyFill="1" applyBorder="1" applyAlignment="1">
      <alignment horizontal="center" vertical="center"/>
    </xf>
    <xf numFmtId="0" fontId="67" fillId="14" borderId="8" xfId="0" applyFont="1" applyFill="1" applyBorder="1" applyAlignment="1">
      <alignment horizontal="center"/>
    </xf>
    <xf numFmtId="0" fontId="67" fillId="14" borderId="9" xfId="0" applyFont="1" applyFill="1" applyBorder="1" applyAlignment="1">
      <alignment horizontal="center"/>
    </xf>
    <xf numFmtId="0" fontId="67" fillId="14" borderId="10" xfId="0" applyFont="1" applyFill="1" applyBorder="1" applyAlignment="1">
      <alignment horizontal="center"/>
    </xf>
    <xf numFmtId="0" fontId="55" fillId="14" borderId="4" xfId="0" applyFont="1" applyFill="1" applyBorder="1" applyAlignment="1">
      <alignment horizontal="center" vertical="center"/>
    </xf>
    <xf numFmtId="0" fontId="55" fillId="14" borderId="5" xfId="0" applyFont="1" applyFill="1" applyBorder="1" applyAlignment="1">
      <alignment horizontal="center" vertical="center"/>
    </xf>
    <xf numFmtId="0" fontId="55" fillId="14" borderId="6" xfId="0" applyFont="1" applyFill="1" applyBorder="1" applyAlignment="1">
      <alignment horizontal="center" vertical="center"/>
    </xf>
    <xf numFmtId="0" fontId="55" fillId="14" borderId="0" xfId="0" applyFont="1" applyFill="1" applyAlignment="1">
      <alignment horizontal="center" vertical="center"/>
    </xf>
    <xf numFmtId="0" fontId="55" fillId="14" borderId="1" xfId="0" applyFont="1" applyFill="1" applyBorder="1" applyAlignment="1">
      <alignment horizontal="center" vertical="center"/>
    </xf>
    <xf numFmtId="0" fontId="64" fillId="14" borderId="3" xfId="0" applyFont="1" applyFill="1" applyBorder="1" applyAlignment="1">
      <alignment horizontal="center" vertical="center"/>
    </xf>
    <xf numFmtId="0" fontId="64" fillId="14" borderId="11" xfId="0" applyFont="1" applyFill="1" applyBorder="1" applyAlignment="1">
      <alignment horizontal="center" vertical="center"/>
    </xf>
    <xf numFmtId="0" fontId="64" fillId="14" borderId="2" xfId="0" applyFont="1" applyFill="1" applyBorder="1" applyAlignment="1">
      <alignment horizontal="center" vertical="center"/>
    </xf>
    <xf numFmtId="0" fontId="52" fillId="14" borderId="5" xfId="0" applyFont="1" applyFill="1" applyBorder="1" applyAlignment="1">
      <alignment horizontal="center" vertical="center"/>
    </xf>
    <xf numFmtId="0" fontId="52" fillId="14" borderId="12" xfId="0" applyFont="1" applyFill="1" applyBorder="1" applyAlignment="1">
      <alignment horizontal="center" vertical="center"/>
    </xf>
    <xf numFmtId="0" fontId="55" fillId="14" borderId="7" xfId="0" applyFont="1" applyFill="1" applyBorder="1" applyAlignment="1">
      <alignment horizontal="center" vertical="center"/>
    </xf>
    <xf numFmtId="0" fontId="52" fillId="14" borderId="3" xfId="0" applyFont="1" applyFill="1" applyBorder="1" applyAlignment="1">
      <alignment horizontal="center"/>
    </xf>
    <xf numFmtId="0" fontId="52" fillId="14" borderId="5" xfId="0" applyFont="1" applyFill="1" applyBorder="1" applyAlignment="1">
      <alignment horizontal="center"/>
    </xf>
    <xf numFmtId="0" fontId="55" fillId="14" borderId="8" xfId="0" applyFont="1" applyFill="1" applyBorder="1" applyAlignment="1">
      <alignment horizontal="center"/>
    </xf>
    <xf numFmtId="0" fontId="55" fillId="14" borderId="9" xfId="0" applyFont="1" applyFill="1" applyBorder="1" applyAlignment="1">
      <alignment horizontal="center"/>
    </xf>
    <xf numFmtId="0" fontId="55" fillId="14" borderId="10" xfId="0" applyFont="1" applyFill="1" applyBorder="1" applyAlignment="1">
      <alignment horizontal="center"/>
    </xf>
    <xf numFmtId="0" fontId="52" fillId="14" borderId="7" xfId="0" applyFont="1" applyFill="1" applyBorder="1" applyAlignment="1">
      <alignment horizontal="center"/>
    </xf>
    <xf numFmtId="0" fontId="52" fillId="14" borderId="0" xfId="0" applyFont="1" applyFill="1" applyAlignment="1">
      <alignment horizontal="center" vertical="center"/>
    </xf>
    <xf numFmtId="1" fontId="55" fillId="14" borderId="3" xfId="0" quotePrefix="1" applyNumberFormat="1" applyFont="1" applyFill="1" applyBorder="1" applyAlignment="1">
      <alignment horizontal="center" vertical="center"/>
    </xf>
    <xf numFmtId="1" fontId="55" fillId="14" borderId="0" xfId="0" applyNumberFormat="1" applyFont="1" applyFill="1" applyAlignment="1">
      <alignment horizontal="center" vertical="center"/>
    </xf>
    <xf numFmtId="0" fontId="52" fillId="14" borderId="1" xfId="0" applyFont="1" applyFill="1" applyBorder="1" applyAlignment="1">
      <alignment horizontal="center" vertical="center"/>
    </xf>
    <xf numFmtId="0" fontId="52" fillId="12" borderId="0" xfId="0" applyFont="1" applyFill="1" applyAlignment="1">
      <alignment horizontal="right" vertical="center"/>
    </xf>
    <xf numFmtId="2" fontId="52" fillId="13" borderId="0" xfId="0" applyNumberFormat="1" applyFont="1" applyFill="1" applyAlignment="1">
      <alignment horizontal="center" vertical="center"/>
    </xf>
    <xf numFmtId="0" fontId="55" fillId="13" borderId="0" xfId="0" applyFont="1" applyFill="1" applyAlignment="1">
      <alignment horizontal="right" vertical="center"/>
    </xf>
    <xf numFmtId="0" fontId="55" fillId="13" borderId="0" xfId="0" applyFont="1" applyFill="1" applyAlignment="1">
      <alignment horizontal="center" vertical="center" wrapText="1"/>
    </xf>
    <xf numFmtId="0" fontId="54" fillId="13" borderId="0" xfId="0" applyFont="1" applyFill="1" applyAlignment="1">
      <alignment horizontal="center"/>
    </xf>
    <xf numFmtId="164" fontId="54" fillId="12" borderId="0" xfId="0" applyNumberFormat="1" applyFont="1" applyFill="1" applyAlignment="1">
      <alignment horizontal="center" vertical="center"/>
    </xf>
    <xf numFmtId="0" fontId="55" fillId="13" borderId="0" xfId="0" applyFont="1" applyFill="1" applyAlignment="1">
      <alignment horizontal="center" wrapText="1"/>
    </xf>
    <xf numFmtId="0" fontId="52" fillId="11" borderId="0" xfId="0" applyFont="1" applyFill="1" applyAlignment="1">
      <alignment horizontal="center"/>
    </xf>
    <xf numFmtId="0" fontId="52" fillId="12" borderId="0" xfId="0" quotePrefix="1" applyFont="1" applyFill="1" applyAlignment="1">
      <alignment horizontal="center" vertical="center"/>
    </xf>
    <xf numFmtId="0" fontId="52" fillId="12" borderId="0" xfId="0" applyFont="1" applyFill="1" applyAlignment="1">
      <alignment horizontal="center" vertical="center"/>
    </xf>
    <xf numFmtId="2" fontId="55" fillId="12" borderId="2" xfId="0" applyNumberFormat="1" applyFont="1" applyFill="1" applyBorder="1" applyAlignment="1">
      <alignment horizontal="right" vertical="center"/>
    </xf>
    <xf numFmtId="0" fontId="55" fillId="12" borderId="2" xfId="0" applyFont="1" applyFill="1" applyBorder="1" applyAlignment="1">
      <alignment horizontal="left" vertical="center"/>
    </xf>
    <xf numFmtId="0" fontId="71" fillId="12" borderId="0" xfId="0" applyFont="1" applyFill="1" applyAlignment="1">
      <alignment horizontal="center" vertical="center" wrapText="1"/>
    </xf>
    <xf numFmtId="0" fontId="74" fillId="6" borderId="0" xfId="0" applyFont="1" applyFill="1" applyAlignment="1">
      <alignment horizontal="center"/>
    </xf>
    <xf numFmtId="2" fontId="54" fillId="11" borderId="0" xfId="0" applyNumberFormat="1" applyFont="1" applyFill="1" applyAlignment="1">
      <alignment horizontal="center"/>
    </xf>
    <xf numFmtId="2" fontId="30" fillId="30" borderId="0" xfId="0" applyNumberFormat="1" applyFont="1" applyFill="1" applyAlignment="1">
      <alignment horizontal="center"/>
    </xf>
    <xf numFmtId="0" fontId="36" fillId="30" borderId="0" xfId="0" applyFont="1" applyFill="1" applyAlignment="1">
      <alignment horizontal="center"/>
    </xf>
    <xf numFmtId="0" fontId="31" fillId="30" borderId="0" xfId="0" applyFont="1" applyFill="1" applyAlignment="1">
      <alignment horizontal="center"/>
    </xf>
    <xf numFmtId="0" fontId="32" fillId="30" borderId="0" xfId="0" applyFont="1" applyFill="1" applyAlignment="1">
      <alignment horizontal="center"/>
    </xf>
    <xf numFmtId="0" fontId="32" fillId="30" borderId="0" xfId="0" applyFont="1" applyFill="1" applyAlignment="1">
      <alignment horizontal="left"/>
    </xf>
    <xf numFmtId="0" fontId="30" fillId="30" borderId="6" xfId="0" applyFont="1" applyFill="1" applyBorder="1" applyAlignment="1">
      <alignment horizontal="center" vertical="center"/>
    </xf>
    <xf numFmtId="0" fontId="30" fillId="30" borderId="0" xfId="0" applyFont="1" applyFill="1" applyAlignment="1">
      <alignment horizontal="right" vertical="center"/>
    </xf>
    <xf numFmtId="0" fontId="30" fillId="30" borderId="0" xfId="0" applyFont="1" applyFill="1" applyAlignment="1">
      <alignment horizontal="center" vertical="center"/>
    </xf>
    <xf numFmtId="0" fontId="16" fillId="20" borderId="13" xfId="0" applyFont="1" applyFill="1" applyBorder="1" applyAlignment="1">
      <alignment horizontal="center" vertical="center"/>
    </xf>
    <xf numFmtId="0" fontId="16" fillId="20" borderId="14" xfId="0" applyFont="1" applyFill="1" applyBorder="1" applyAlignment="1">
      <alignment horizontal="center" vertical="center"/>
    </xf>
    <xf numFmtId="0" fontId="0" fillId="25" borderId="6" xfId="0" applyFill="1" applyBorder="1" applyAlignment="1">
      <alignment horizontal="center"/>
    </xf>
    <xf numFmtId="0" fontId="0" fillId="25" borderId="0" xfId="0" applyFill="1" applyAlignment="1">
      <alignment horizontal="center"/>
    </xf>
    <xf numFmtId="0" fontId="9" fillId="24" borderId="8" xfId="0" applyFont="1" applyFill="1" applyBorder="1" applyAlignment="1">
      <alignment horizontal="center" vertical="center"/>
    </xf>
    <xf numFmtId="0" fontId="9" fillId="24" borderId="10" xfId="0" applyFont="1" applyFill="1" applyBorder="1" applyAlignment="1">
      <alignment horizontal="center" vertical="center"/>
    </xf>
    <xf numFmtId="0" fontId="8" fillId="24" borderId="7" xfId="0" applyFont="1" applyFill="1" applyBorder="1" applyAlignment="1">
      <alignment horizontal="center"/>
    </xf>
    <xf numFmtId="0" fontId="0" fillId="24" borderId="7" xfId="0" applyFill="1" applyBorder="1" applyAlignment="1">
      <alignment horizontal="center"/>
    </xf>
    <xf numFmtId="0" fontId="0" fillId="20" borderId="4" xfId="0" applyFill="1" applyBorder="1" applyAlignment="1">
      <alignment horizontal="center"/>
    </xf>
    <xf numFmtId="0" fontId="0" fillId="20" borderId="5" xfId="0" applyFill="1" applyBorder="1" applyAlignment="1">
      <alignment horizontal="center"/>
    </xf>
    <xf numFmtId="0" fontId="0" fillId="20" borderId="8" xfId="0" applyFill="1" applyBorder="1" applyAlignment="1">
      <alignment horizontal="center"/>
    </xf>
    <xf numFmtId="0" fontId="0" fillId="20" borderId="10" xfId="0" applyFill="1" applyBorder="1" applyAlignment="1">
      <alignment horizontal="center"/>
    </xf>
    <xf numFmtId="2" fontId="0" fillId="22" borderId="7" xfId="0" applyNumberFormat="1" applyFill="1" applyBorder="1" applyAlignment="1">
      <alignment horizontal="center" vertical="center"/>
    </xf>
    <xf numFmtId="166" fontId="0" fillId="23" borderId="8" xfId="0" applyNumberFormat="1" applyFill="1" applyBorder="1" applyAlignment="1">
      <alignment horizontal="center"/>
    </xf>
    <xf numFmtId="166" fontId="0" fillId="23" borderId="10" xfId="0" applyNumberFormat="1" applyFill="1" applyBorder="1" applyAlignment="1">
      <alignment horizontal="center"/>
    </xf>
    <xf numFmtId="1" fontId="0" fillId="23" borderId="8" xfId="0" applyNumberFormat="1" applyFill="1" applyBorder="1" applyAlignment="1">
      <alignment horizontal="center" vertical="center"/>
    </xf>
    <xf numFmtId="1" fontId="0" fillId="23" borderId="10" xfId="0" applyNumberFormat="1" applyFill="1" applyBorder="1" applyAlignment="1">
      <alignment horizontal="center" vertical="center"/>
    </xf>
    <xf numFmtId="0" fontId="3" fillId="22" borderId="7" xfId="0" applyFont="1" applyFill="1" applyBorder="1" applyAlignment="1">
      <alignment horizontal="center" vertical="center"/>
    </xf>
    <xf numFmtId="0" fontId="10" fillId="24" borderId="0" xfId="0" applyFont="1" applyFill="1" applyAlignment="1">
      <alignment horizontal="center" vertical="center"/>
    </xf>
    <xf numFmtId="166" fontId="0" fillId="23" borderId="8" xfId="0" applyNumberFormat="1" applyFill="1" applyBorder="1" applyAlignment="1">
      <alignment horizontal="center" vertical="center"/>
    </xf>
    <xf numFmtId="166" fontId="0" fillId="23" borderId="10" xfId="0" applyNumberFormat="1" applyFill="1" applyBorder="1" applyAlignment="1">
      <alignment horizontal="center" vertical="center"/>
    </xf>
    <xf numFmtId="0" fontId="0" fillId="23" borderId="8" xfId="0" quotePrefix="1" applyFill="1" applyBorder="1" applyAlignment="1">
      <alignment horizontal="center"/>
    </xf>
    <xf numFmtId="0" fontId="0" fillId="23" borderId="9" xfId="0" quotePrefix="1" applyFill="1" applyBorder="1" applyAlignment="1">
      <alignment horizontal="center"/>
    </xf>
    <xf numFmtId="0" fontId="0" fillId="22" borderId="11" xfId="0" applyFill="1" applyBorder="1" applyAlignment="1">
      <alignment horizontal="center" vertical="top"/>
    </xf>
    <xf numFmtId="0" fontId="0" fillId="22" borderId="12" xfId="0" applyFill="1" applyBorder="1" applyAlignment="1">
      <alignment horizontal="center" vertical="top"/>
    </xf>
    <xf numFmtId="0" fontId="4" fillId="23" borderId="13" xfId="0" applyFont="1" applyFill="1" applyBorder="1" applyAlignment="1">
      <alignment horizontal="center" vertical="center" wrapText="1"/>
    </xf>
    <xf numFmtId="0" fontId="4" fillId="23" borderId="15" xfId="0" applyFont="1" applyFill="1" applyBorder="1" applyAlignment="1">
      <alignment horizontal="center" vertical="center" wrapText="1"/>
    </xf>
    <xf numFmtId="0" fontId="4" fillId="23" borderId="14" xfId="0" applyFont="1" applyFill="1" applyBorder="1" applyAlignment="1">
      <alignment horizontal="center" vertical="center" wrapText="1"/>
    </xf>
    <xf numFmtId="0" fontId="0" fillId="23" borderId="10" xfId="0" applyFill="1" applyBorder="1" applyAlignment="1">
      <alignment horizontal="center" vertical="center"/>
    </xf>
    <xf numFmtId="0" fontId="0" fillId="23" borderId="7" xfId="0" applyFill="1" applyBorder="1" applyAlignment="1">
      <alignment horizontal="center" vertical="center"/>
    </xf>
    <xf numFmtId="0" fontId="0" fillId="23" borderId="4" xfId="0" applyFill="1" applyBorder="1" applyAlignment="1">
      <alignment horizontal="left" vertical="center" wrapText="1"/>
    </xf>
    <xf numFmtId="0" fontId="0" fillId="23" borderId="3" xfId="0" applyFill="1" applyBorder="1" applyAlignment="1">
      <alignment horizontal="left" vertical="center" wrapText="1"/>
    </xf>
    <xf numFmtId="0" fontId="0" fillId="23" borderId="5" xfId="0" applyFill="1" applyBorder="1" applyAlignment="1">
      <alignment horizontal="left" vertical="center" wrapText="1"/>
    </xf>
    <xf numFmtId="0" fontId="0" fillId="23" borderId="11" xfId="0" applyFill="1" applyBorder="1" applyAlignment="1">
      <alignment horizontal="left" vertical="center" wrapText="1"/>
    </xf>
    <xf numFmtId="0" fontId="0" fillId="23" borderId="2" xfId="0" applyFill="1" applyBorder="1" applyAlignment="1">
      <alignment horizontal="left" vertical="center" wrapText="1"/>
    </xf>
    <xf numFmtId="0" fontId="0" fillId="23" borderId="12" xfId="0" applyFill="1" applyBorder="1" applyAlignment="1">
      <alignment horizontal="left" vertical="center" wrapText="1"/>
    </xf>
    <xf numFmtId="0" fontId="21" fillId="22" borderId="7" xfId="0" applyFont="1" applyFill="1" applyBorder="1" applyAlignment="1">
      <alignment horizontal="center" vertical="center"/>
    </xf>
    <xf numFmtId="0" fontId="3" fillId="23" borderId="8" xfId="0" applyFont="1" applyFill="1" applyBorder="1" applyAlignment="1">
      <alignment horizontal="center" vertical="center"/>
    </xf>
    <xf numFmtId="0" fontId="3" fillId="23" borderId="10" xfId="0" applyFont="1" applyFill="1" applyBorder="1" applyAlignment="1">
      <alignment horizontal="center" vertical="center"/>
    </xf>
    <xf numFmtId="0" fontId="0" fillId="23" borderId="8" xfId="0" applyFill="1" applyBorder="1" applyAlignment="1">
      <alignment horizontal="center" vertical="center"/>
    </xf>
    <xf numFmtId="0" fontId="0" fillId="23" borderId="8" xfId="0" applyFill="1" applyBorder="1" applyAlignment="1">
      <alignment horizontal="center"/>
    </xf>
    <xf numFmtId="0" fontId="0" fillId="23" borderId="10" xfId="0" applyFill="1" applyBorder="1" applyAlignment="1">
      <alignment horizontal="center"/>
    </xf>
    <xf numFmtId="0" fontId="0" fillId="20" borderId="4" xfId="0" applyFill="1" applyBorder="1" applyAlignment="1">
      <alignment horizontal="center" vertical="center" wrapText="1"/>
    </xf>
    <xf numFmtId="0" fontId="0" fillId="20" borderId="6" xfId="0" applyFill="1" applyBorder="1" applyAlignment="1">
      <alignment horizontal="center" vertical="center" wrapText="1"/>
    </xf>
    <xf numFmtId="0" fontId="0" fillId="20" borderId="11" xfId="0" applyFill="1" applyBorder="1" applyAlignment="1">
      <alignment horizontal="center" vertical="center" wrapText="1"/>
    </xf>
    <xf numFmtId="0" fontId="0" fillId="0" borderId="0" xfId="0" applyAlignment="1">
      <alignment horizontal="center" vertical="center"/>
    </xf>
    <xf numFmtId="0" fontId="10" fillId="22" borderId="0" xfId="0" applyFont="1" applyFill="1" applyAlignment="1">
      <alignment horizontal="center" vertical="center"/>
    </xf>
    <xf numFmtId="0" fontId="21" fillId="22" borderId="4" xfId="0" applyFont="1" applyFill="1" applyBorder="1" applyAlignment="1">
      <alignment horizontal="center" vertical="center"/>
    </xf>
    <xf numFmtId="0" fontId="21" fillId="22" borderId="5" xfId="0" applyFont="1" applyFill="1" applyBorder="1" applyAlignment="1">
      <alignment horizontal="center" vertical="center"/>
    </xf>
    <xf numFmtId="0" fontId="0" fillId="22" borderId="7" xfId="0" applyFill="1" applyBorder="1" applyAlignment="1">
      <alignment horizontal="center" vertical="center"/>
    </xf>
    <xf numFmtId="0" fontId="10" fillId="23" borderId="8" xfId="0" applyFont="1" applyFill="1" applyBorder="1" applyAlignment="1">
      <alignment horizontal="center" vertical="center"/>
    </xf>
    <xf numFmtId="0" fontId="10" fillId="23" borderId="9" xfId="0" applyFont="1" applyFill="1" applyBorder="1" applyAlignment="1">
      <alignment horizontal="center" vertical="center"/>
    </xf>
    <xf numFmtId="0" fontId="10" fillId="23" borderId="10" xfId="0" applyFont="1" applyFill="1" applyBorder="1" applyAlignment="1">
      <alignment horizontal="center" vertical="center"/>
    </xf>
    <xf numFmtId="0" fontId="0" fillId="9" borderId="7" xfId="0" applyFill="1" applyBorder="1" applyAlignment="1">
      <alignment horizontal="center" vertical="center"/>
    </xf>
    <xf numFmtId="0" fontId="10" fillId="20" borderId="4" xfId="0" applyFont="1" applyFill="1" applyBorder="1" applyAlignment="1">
      <alignment horizontal="center" vertical="center"/>
    </xf>
    <xf numFmtId="0" fontId="10" fillId="20" borderId="3" xfId="0" applyFont="1" applyFill="1" applyBorder="1" applyAlignment="1">
      <alignment horizontal="center" vertical="center"/>
    </xf>
    <xf numFmtId="0" fontId="10" fillId="20" borderId="5" xfId="0" applyFont="1" applyFill="1" applyBorder="1" applyAlignment="1">
      <alignment horizontal="center" vertical="center"/>
    </xf>
    <xf numFmtId="0" fontId="10" fillId="21" borderId="8" xfId="0" applyFont="1" applyFill="1" applyBorder="1" applyAlignment="1">
      <alignment horizontal="center" vertical="center"/>
    </xf>
    <xf numFmtId="0" fontId="10" fillId="21" borderId="9" xfId="0" applyFont="1" applyFill="1" applyBorder="1" applyAlignment="1">
      <alignment horizontal="center" vertical="center"/>
    </xf>
    <xf numFmtId="0" fontId="10" fillId="21" borderId="10" xfId="0" applyFont="1" applyFill="1" applyBorder="1" applyAlignment="1">
      <alignment horizontal="center" vertical="center"/>
    </xf>
    <xf numFmtId="0" fontId="0" fillId="20" borderId="7" xfId="0" applyFill="1" applyBorder="1" applyAlignment="1">
      <alignment horizontal="center" vertical="center"/>
    </xf>
    <xf numFmtId="0" fontId="7" fillId="20" borderId="7" xfId="0" applyFont="1" applyFill="1" applyBorder="1" applyAlignment="1">
      <alignment horizontal="center" vertical="center"/>
    </xf>
    <xf numFmtId="0" fontId="10" fillId="9" borderId="0" xfId="0" applyFont="1" applyFill="1" applyAlignment="1">
      <alignment horizontal="center" vertical="center"/>
    </xf>
    <xf numFmtId="0" fontId="10" fillId="9" borderId="2" xfId="0" applyFont="1" applyFill="1" applyBorder="1" applyAlignment="1">
      <alignment horizontal="center" vertical="center"/>
    </xf>
    <xf numFmtId="0" fontId="0" fillId="9" borderId="13" xfId="0" applyFill="1" applyBorder="1" applyAlignment="1">
      <alignment horizontal="center" vertical="center" wrapText="1"/>
    </xf>
    <xf numFmtId="0" fontId="0" fillId="9" borderId="14" xfId="0" applyFill="1" applyBorder="1" applyAlignment="1">
      <alignment horizontal="center" vertical="center" wrapText="1"/>
    </xf>
    <xf numFmtId="0" fontId="8" fillId="9" borderId="7" xfId="0" applyFont="1" applyFill="1" applyBorder="1" applyAlignment="1">
      <alignment horizontal="center" vertical="center"/>
    </xf>
  </cellXfs>
  <cellStyles count="2">
    <cellStyle name="Hyperlink" xfId="1" builtinId="8"/>
    <cellStyle name="Normal" xfId="0" builtinId="0"/>
  </cellStyles>
  <dxfs count="18">
    <dxf>
      <alignment horizontal="general" vertical="bottom" textRotation="0" wrapText="0" indent="0" justifyLastLine="0" shrinkToFit="0" readingOrder="0"/>
    </dxf>
    <dxf>
      <fill>
        <patternFill patternType="solid">
          <fgColor indexed="64"/>
          <bgColor theme="0"/>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ertAlign val="baseline"/>
        <sz val="12"/>
        <color theme="4"/>
        <name val="Calibri"/>
        <family val="2"/>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1" defaultTableStyle="TableStyleMedium2" defaultPivotStyle="PivotStyleLight16">
    <tableStyle name="Table Style 1" pivot="0" count="0" xr9:uid="{26B9DE28-4D85-4D2F-B7A7-3307F21877B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21</xdr:col>
      <xdr:colOff>0</xdr:colOff>
      <xdr:row>163</xdr:row>
      <xdr:rowOff>0</xdr:rowOff>
    </xdr:from>
    <xdr:to>
      <xdr:col>21</xdr:col>
      <xdr:colOff>0</xdr:colOff>
      <xdr:row>163</xdr:row>
      <xdr:rowOff>0</xdr:rowOff>
    </xdr:to>
    <xdr:grpSp>
      <xdr:nvGrpSpPr>
        <xdr:cNvPr id="2" name="Group 28">
          <a:extLst>
            <a:ext uri="{FF2B5EF4-FFF2-40B4-BE49-F238E27FC236}">
              <a16:creationId xmlns:a16="http://schemas.microsoft.com/office/drawing/2014/main" id="{CA7F7650-EBCD-4055-95B5-AD1C6005EC3C}"/>
            </a:ext>
          </a:extLst>
        </xdr:cNvPr>
        <xdr:cNvGrpSpPr>
          <a:grpSpLocks/>
        </xdr:cNvGrpSpPr>
      </xdr:nvGrpSpPr>
      <xdr:grpSpPr bwMode="auto">
        <a:xfrm>
          <a:off x="11606893" y="32854446"/>
          <a:ext cx="0" cy="0"/>
          <a:chOff x="261" y="1526"/>
          <a:chExt cx="18" cy="32"/>
        </a:xfrm>
      </xdr:grpSpPr>
      <xdr:sp macro="" textlink="">
        <xdr:nvSpPr>
          <xdr:cNvPr id="3" name="Line 1">
            <a:extLst>
              <a:ext uri="{FF2B5EF4-FFF2-40B4-BE49-F238E27FC236}">
                <a16:creationId xmlns:a16="http://schemas.microsoft.com/office/drawing/2014/main" id="{D4079CD0-2B0D-9BAF-15F2-37234513C299}"/>
              </a:ext>
            </a:extLst>
          </xdr:cNvPr>
          <xdr:cNvSpPr>
            <a:spLocks noChangeShapeType="1"/>
          </xdr:cNvSpPr>
        </xdr:nvSpPr>
        <xdr:spPr bwMode="auto">
          <a:xfrm flipH="1">
            <a:off x="272" y="1526"/>
            <a:ext cx="7" cy="3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 name="Line 2">
            <a:extLst>
              <a:ext uri="{FF2B5EF4-FFF2-40B4-BE49-F238E27FC236}">
                <a16:creationId xmlns:a16="http://schemas.microsoft.com/office/drawing/2014/main" id="{2ED18BA2-2224-32BD-0F16-DC7B49448D49}"/>
              </a:ext>
            </a:extLst>
          </xdr:cNvPr>
          <xdr:cNvSpPr>
            <a:spLocks noChangeShapeType="1"/>
          </xdr:cNvSpPr>
        </xdr:nvSpPr>
        <xdr:spPr bwMode="auto">
          <a:xfrm>
            <a:off x="268" y="1548"/>
            <a:ext cx="3" cy="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 name="Line 25">
            <a:extLst>
              <a:ext uri="{FF2B5EF4-FFF2-40B4-BE49-F238E27FC236}">
                <a16:creationId xmlns:a16="http://schemas.microsoft.com/office/drawing/2014/main" id="{A210904B-884A-A4C4-3358-0EFE5273982A}"/>
              </a:ext>
            </a:extLst>
          </xdr:cNvPr>
          <xdr:cNvSpPr>
            <a:spLocks noChangeShapeType="1"/>
          </xdr:cNvSpPr>
        </xdr:nvSpPr>
        <xdr:spPr bwMode="auto">
          <a:xfrm>
            <a:off x="261" y="1548"/>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23</xdr:col>
      <xdr:colOff>266700</xdr:colOff>
      <xdr:row>163</xdr:row>
      <xdr:rowOff>0</xdr:rowOff>
    </xdr:from>
    <xdr:to>
      <xdr:col>25</xdr:col>
      <xdr:colOff>0</xdr:colOff>
      <xdr:row>163</xdr:row>
      <xdr:rowOff>0</xdr:rowOff>
    </xdr:to>
    <xdr:sp macro="" textlink="">
      <xdr:nvSpPr>
        <xdr:cNvPr id="6" name="AutoShape 26">
          <a:extLst>
            <a:ext uri="{FF2B5EF4-FFF2-40B4-BE49-F238E27FC236}">
              <a16:creationId xmlns:a16="http://schemas.microsoft.com/office/drawing/2014/main" id="{F3478ECF-B113-4F3D-B44F-EB2F9C86BC5A}"/>
            </a:ext>
          </a:extLst>
        </xdr:cNvPr>
        <xdr:cNvSpPr>
          <a:spLocks noChangeArrowheads="1"/>
        </xdr:cNvSpPr>
      </xdr:nvSpPr>
      <xdr:spPr bwMode="auto">
        <a:xfrm>
          <a:off x="8610600" y="28613100"/>
          <a:ext cx="982980" cy="0"/>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25</xdr:col>
      <xdr:colOff>0</xdr:colOff>
      <xdr:row>163</xdr:row>
      <xdr:rowOff>0</xdr:rowOff>
    </xdr:from>
    <xdr:to>
      <xdr:col>27</xdr:col>
      <xdr:colOff>38100</xdr:colOff>
      <xdr:row>163</xdr:row>
      <xdr:rowOff>0</xdr:rowOff>
    </xdr:to>
    <xdr:sp macro="" textlink="">
      <xdr:nvSpPr>
        <xdr:cNvPr id="8" name="AutoShape 33">
          <a:extLst>
            <a:ext uri="{FF2B5EF4-FFF2-40B4-BE49-F238E27FC236}">
              <a16:creationId xmlns:a16="http://schemas.microsoft.com/office/drawing/2014/main" id="{376E4C18-68B9-4D3E-8D9F-FFBA6DD1B385}"/>
            </a:ext>
          </a:extLst>
        </xdr:cNvPr>
        <xdr:cNvSpPr>
          <a:spLocks noChangeArrowheads="1"/>
        </xdr:cNvSpPr>
      </xdr:nvSpPr>
      <xdr:spPr bwMode="auto">
        <a:xfrm>
          <a:off x="9593580" y="28613100"/>
          <a:ext cx="1287780" cy="0"/>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23</xdr:col>
      <xdr:colOff>7620</xdr:colOff>
      <xdr:row>163</xdr:row>
      <xdr:rowOff>0</xdr:rowOff>
    </xdr:from>
    <xdr:to>
      <xdr:col>23</xdr:col>
      <xdr:colOff>7620</xdr:colOff>
      <xdr:row>163</xdr:row>
      <xdr:rowOff>0</xdr:rowOff>
    </xdr:to>
    <xdr:sp macro="" textlink="">
      <xdr:nvSpPr>
        <xdr:cNvPr id="9" name="Line 62">
          <a:extLst>
            <a:ext uri="{FF2B5EF4-FFF2-40B4-BE49-F238E27FC236}">
              <a16:creationId xmlns:a16="http://schemas.microsoft.com/office/drawing/2014/main" id="{669CCA7C-78A1-43D0-88EB-8349FF02876D}"/>
            </a:ext>
          </a:extLst>
        </xdr:cNvPr>
        <xdr:cNvSpPr>
          <a:spLocks noChangeShapeType="1"/>
        </xdr:cNvSpPr>
      </xdr:nvSpPr>
      <xdr:spPr bwMode="auto">
        <a:xfrm>
          <a:off x="83515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358140</xdr:colOff>
      <xdr:row>163</xdr:row>
      <xdr:rowOff>0</xdr:rowOff>
    </xdr:from>
    <xdr:to>
      <xdr:col>29</xdr:col>
      <xdr:colOff>358140</xdr:colOff>
      <xdr:row>163</xdr:row>
      <xdr:rowOff>0</xdr:rowOff>
    </xdr:to>
    <xdr:sp macro="" textlink="">
      <xdr:nvSpPr>
        <xdr:cNvPr id="10" name="Line 63">
          <a:extLst>
            <a:ext uri="{FF2B5EF4-FFF2-40B4-BE49-F238E27FC236}">
              <a16:creationId xmlns:a16="http://schemas.microsoft.com/office/drawing/2014/main" id="{CDF5EC97-7FDF-498B-BE76-9B969EE14FFF}"/>
            </a:ext>
          </a:extLst>
        </xdr:cNvPr>
        <xdr:cNvSpPr>
          <a:spLocks noChangeShapeType="1"/>
        </xdr:cNvSpPr>
      </xdr:nvSpPr>
      <xdr:spPr bwMode="auto">
        <a:xfrm>
          <a:off x="1245108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0</xdr:colOff>
      <xdr:row>163</xdr:row>
      <xdr:rowOff>0</xdr:rowOff>
    </xdr:from>
    <xdr:to>
      <xdr:col>23</xdr:col>
      <xdr:colOff>0</xdr:colOff>
      <xdr:row>163</xdr:row>
      <xdr:rowOff>0</xdr:rowOff>
    </xdr:to>
    <xdr:sp macro="" textlink="">
      <xdr:nvSpPr>
        <xdr:cNvPr id="11" name="Line 68">
          <a:extLst>
            <a:ext uri="{FF2B5EF4-FFF2-40B4-BE49-F238E27FC236}">
              <a16:creationId xmlns:a16="http://schemas.microsoft.com/office/drawing/2014/main" id="{A520E735-41A5-4F4C-8F5E-85D398E17ECF}"/>
            </a:ext>
          </a:extLst>
        </xdr:cNvPr>
        <xdr:cNvSpPr>
          <a:spLocks noChangeShapeType="1"/>
        </xdr:cNvSpPr>
      </xdr:nvSpPr>
      <xdr:spPr bwMode="auto">
        <a:xfrm>
          <a:off x="834390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163</xdr:row>
      <xdr:rowOff>0</xdr:rowOff>
    </xdr:from>
    <xdr:to>
      <xdr:col>30</xdr:col>
      <xdr:colOff>7620</xdr:colOff>
      <xdr:row>163</xdr:row>
      <xdr:rowOff>0</xdr:rowOff>
    </xdr:to>
    <xdr:sp macro="" textlink="">
      <xdr:nvSpPr>
        <xdr:cNvPr id="12" name="Line 69">
          <a:extLst>
            <a:ext uri="{FF2B5EF4-FFF2-40B4-BE49-F238E27FC236}">
              <a16:creationId xmlns:a16="http://schemas.microsoft.com/office/drawing/2014/main" id="{B302609A-3109-4FE3-87C7-368B9B324F43}"/>
            </a:ext>
          </a:extLst>
        </xdr:cNvPr>
        <xdr:cNvSpPr>
          <a:spLocks noChangeShapeType="1"/>
        </xdr:cNvSpPr>
      </xdr:nvSpPr>
      <xdr:spPr bwMode="auto">
        <a:xfrm>
          <a:off x="1272540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35</xdr:col>
      <xdr:colOff>548640</xdr:colOff>
      <xdr:row>163</xdr:row>
      <xdr:rowOff>0</xdr:rowOff>
    </xdr:from>
    <xdr:to>
      <xdr:col>36</xdr:col>
      <xdr:colOff>99060</xdr:colOff>
      <xdr:row>163</xdr:row>
      <xdr:rowOff>0</xdr:rowOff>
    </xdr:to>
    <xdr:sp macro="" textlink="">
      <xdr:nvSpPr>
        <xdr:cNvPr id="13" name="Rectangle 70">
          <a:extLst>
            <a:ext uri="{FF2B5EF4-FFF2-40B4-BE49-F238E27FC236}">
              <a16:creationId xmlns:a16="http://schemas.microsoft.com/office/drawing/2014/main" id="{596C2FDB-CC25-4AB8-826E-36D32E0694D3}"/>
            </a:ext>
          </a:extLst>
        </xdr:cNvPr>
        <xdr:cNvSpPr>
          <a:spLocks noChangeArrowheads="1"/>
        </xdr:cNvSpPr>
      </xdr:nvSpPr>
      <xdr:spPr bwMode="auto">
        <a:xfrm>
          <a:off x="16390620" y="28613100"/>
          <a:ext cx="175260" cy="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40</xdr:col>
      <xdr:colOff>457200</xdr:colOff>
      <xdr:row>163</xdr:row>
      <xdr:rowOff>0</xdr:rowOff>
    </xdr:from>
    <xdr:to>
      <xdr:col>40</xdr:col>
      <xdr:colOff>601980</xdr:colOff>
      <xdr:row>163</xdr:row>
      <xdr:rowOff>0</xdr:rowOff>
    </xdr:to>
    <xdr:sp macro="" textlink="">
      <xdr:nvSpPr>
        <xdr:cNvPr id="14" name="Rectangle 71">
          <a:extLst>
            <a:ext uri="{FF2B5EF4-FFF2-40B4-BE49-F238E27FC236}">
              <a16:creationId xmlns:a16="http://schemas.microsoft.com/office/drawing/2014/main" id="{9355B49A-E825-40DE-B8A0-E3B7A96F298A}"/>
            </a:ext>
          </a:extLst>
        </xdr:cNvPr>
        <xdr:cNvSpPr>
          <a:spLocks noChangeArrowheads="1"/>
        </xdr:cNvSpPr>
      </xdr:nvSpPr>
      <xdr:spPr bwMode="auto">
        <a:xfrm>
          <a:off x="19423380" y="28613100"/>
          <a:ext cx="144780" cy="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36</xdr:col>
      <xdr:colOff>160020</xdr:colOff>
      <xdr:row>163</xdr:row>
      <xdr:rowOff>0</xdr:rowOff>
    </xdr:from>
    <xdr:to>
      <xdr:col>37</xdr:col>
      <xdr:colOff>213360</xdr:colOff>
      <xdr:row>163</xdr:row>
      <xdr:rowOff>0</xdr:rowOff>
    </xdr:to>
    <xdr:sp macro="" textlink="">
      <xdr:nvSpPr>
        <xdr:cNvPr id="15" name="Line 72">
          <a:extLst>
            <a:ext uri="{FF2B5EF4-FFF2-40B4-BE49-F238E27FC236}">
              <a16:creationId xmlns:a16="http://schemas.microsoft.com/office/drawing/2014/main" id="{14773862-98B4-4BC3-B704-F824E8DBA14A}"/>
            </a:ext>
          </a:extLst>
        </xdr:cNvPr>
        <xdr:cNvSpPr>
          <a:spLocks noChangeShapeType="1"/>
        </xdr:cNvSpPr>
      </xdr:nvSpPr>
      <xdr:spPr bwMode="auto">
        <a:xfrm flipH="1">
          <a:off x="16626840" y="28613100"/>
          <a:ext cx="678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38</xdr:col>
      <xdr:colOff>167640</xdr:colOff>
      <xdr:row>163</xdr:row>
      <xdr:rowOff>0</xdr:rowOff>
    </xdr:from>
    <xdr:to>
      <xdr:col>40</xdr:col>
      <xdr:colOff>449580</xdr:colOff>
      <xdr:row>163</xdr:row>
      <xdr:rowOff>0</xdr:rowOff>
    </xdr:to>
    <xdr:sp macro="" textlink="">
      <xdr:nvSpPr>
        <xdr:cNvPr id="16" name="Line 73">
          <a:extLst>
            <a:ext uri="{FF2B5EF4-FFF2-40B4-BE49-F238E27FC236}">
              <a16:creationId xmlns:a16="http://schemas.microsoft.com/office/drawing/2014/main" id="{2883EB62-3293-4070-BB8E-6EE00B5A46AD}"/>
            </a:ext>
          </a:extLst>
        </xdr:cNvPr>
        <xdr:cNvSpPr>
          <a:spLocks noChangeShapeType="1"/>
        </xdr:cNvSpPr>
      </xdr:nvSpPr>
      <xdr:spPr bwMode="auto">
        <a:xfrm>
          <a:off x="17884140" y="28613100"/>
          <a:ext cx="1531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7620</xdr:colOff>
      <xdr:row>163</xdr:row>
      <xdr:rowOff>0</xdr:rowOff>
    </xdr:from>
    <xdr:to>
      <xdr:col>35</xdr:col>
      <xdr:colOff>7620</xdr:colOff>
      <xdr:row>163</xdr:row>
      <xdr:rowOff>0</xdr:rowOff>
    </xdr:to>
    <xdr:sp macro="" textlink="">
      <xdr:nvSpPr>
        <xdr:cNvPr id="17" name="Line 74">
          <a:extLst>
            <a:ext uri="{FF2B5EF4-FFF2-40B4-BE49-F238E27FC236}">
              <a16:creationId xmlns:a16="http://schemas.microsoft.com/office/drawing/2014/main" id="{D55E6649-7A17-47BB-B3CA-084545597028}"/>
            </a:ext>
          </a:extLst>
        </xdr:cNvPr>
        <xdr:cNvSpPr>
          <a:spLocks noChangeShapeType="1"/>
        </xdr:cNvSpPr>
      </xdr:nvSpPr>
      <xdr:spPr bwMode="auto">
        <a:xfrm>
          <a:off x="1584960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41</xdr:col>
      <xdr:colOff>358140</xdr:colOff>
      <xdr:row>163</xdr:row>
      <xdr:rowOff>0</xdr:rowOff>
    </xdr:from>
    <xdr:to>
      <xdr:col>41</xdr:col>
      <xdr:colOff>358140</xdr:colOff>
      <xdr:row>163</xdr:row>
      <xdr:rowOff>0</xdr:rowOff>
    </xdr:to>
    <xdr:sp macro="" textlink="">
      <xdr:nvSpPr>
        <xdr:cNvPr id="18" name="Line 75">
          <a:extLst>
            <a:ext uri="{FF2B5EF4-FFF2-40B4-BE49-F238E27FC236}">
              <a16:creationId xmlns:a16="http://schemas.microsoft.com/office/drawing/2014/main" id="{363BCF61-A51A-41B6-9922-74DE4A0A4DED}"/>
            </a:ext>
          </a:extLst>
        </xdr:cNvPr>
        <xdr:cNvSpPr>
          <a:spLocks noChangeShapeType="1"/>
        </xdr:cNvSpPr>
      </xdr:nvSpPr>
      <xdr:spPr bwMode="auto">
        <a:xfrm>
          <a:off x="1994916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30480</xdr:colOff>
      <xdr:row>163</xdr:row>
      <xdr:rowOff>0</xdr:rowOff>
    </xdr:from>
    <xdr:to>
      <xdr:col>34</xdr:col>
      <xdr:colOff>213360</xdr:colOff>
      <xdr:row>163</xdr:row>
      <xdr:rowOff>0</xdr:rowOff>
    </xdr:to>
    <xdr:sp macro="" textlink="">
      <xdr:nvSpPr>
        <xdr:cNvPr id="19" name="Line 76">
          <a:extLst>
            <a:ext uri="{FF2B5EF4-FFF2-40B4-BE49-F238E27FC236}">
              <a16:creationId xmlns:a16="http://schemas.microsoft.com/office/drawing/2014/main" id="{92B08FBE-A442-4A8B-B4E1-7F2DD0076EB8}"/>
            </a:ext>
          </a:extLst>
        </xdr:cNvPr>
        <xdr:cNvSpPr>
          <a:spLocks noChangeShapeType="1"/>
        </xdr:cNvSpPr>
      </xdr:nvSpPr>
      <xdr:spPr bwMode="auto">
        <a:xfrm>
          <a:off x="15247620" y="28613100"/>
          <a:ext cx="1828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41</xdr:col>
      <xdr:colOff>350520</xdr:colOff>
      <xdr:row>163</xdr:row>
      <xdr:rowOff>0</xdr:rowOff>
    </xdr:from>
    <xdr:to>
      <xdr:col>42</xdr:col>
      <xdr:colOff>167640</xdr:colOff>
      <xdr:row>163</xdr:row>
      <xdr:rowOff>0</xdr:rowOff>
    </xdr:to>
    <xdr:sp macro="" textlink="">
      <xdr:nvSpPr>
        <xdr:cNvPr id="20" name="Line 77">
          <a:extLst>
            <a:ext uri="{FF2B5EF4-FFF2-40B4-BE49-F238E27FC236}">
              <a16:creationId xmlns:a16="http://schemas.microsoft.com/office/drawing/2014/main" id="{4CAD1814-00FD-4BAC-8008-A91001C16069}"/>
            </a:ext>
          </a:extLst>
        </xdr:cNvPr>
        <xdr:cNvSpPr>
          <a:spLocks noChangeShapeType="1"/>
        </xdr:cNvSpPr>
      </xdr:nvSpPr>
      <xdr:spPr bwMode="auto">
        <a:xfrm flipH="1">
          <a:off x="19941540" y="28613100"/>
          <a:ext cx="4419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38</xdr:col>
      <xdr:colOff>45720</xdr:colOff>
      <xdr:row>163</xdr:row>
      <xdr:rowOff>0</xdr:rowOff>
    </xdr:from>
    <xdr:to>
      <xdr:col>42</xdr:col>
      <xdr:colOff>22860</xdr:colOff>
      <xdr:row>163</xdr:row>
      <xdr:rowOff>0</xdr:rowOff>
    </xdr:to>
    <xdr:sp macro="" textlink="">
      <xdr:nvSpPr>
        <xdr:cNvPr id="21" name="Line 78">
          <a:extLst>
            <a:ext uri="{FF2B5EF4-FFF2-40B4-BE49-F238E27FC236}">
              <a16:creationId xmlns:a16="http://schemas.microsoft.com/office/drawing/2014/main" id="{3C8A2A56-6C98-4642-BA00-9D2F27F4C05E}"/>
            </a:ext>
          </a:extLst>
        </xdr:cNvPr>
        <xdr:cNvSpPr>
          <a:spLocks noChangeShapeType="1"/>
        </xdr:cNvSpPr>
      </xdr:nvSpPr>
      <xdr:spPr bwMode="auto">
        <a:xfrm>
          <a:off x="17762220" y="28613100"/>
          <a:ext cx="2476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34</xdr:col>
      <xdr:colOff>617220</xdr:colOff>
      <xdr:row>163</xdr:row>
      <xdr:rowOff>0</xdr:rowOff>
    </xdr:from>
    <xdr:to>
      <xdr:col>37</xdr:col>
      <xdr:colOff>243840</xdr:colOff>
      <xdr:row>163</xdr:row>
      <xdr:rowOff>0</xdr:rowOff>
    </xdr:to>
    <xdr:sp macro="" textlink="">
      <xdr:nvSpPr>
        <xdr:cNvPr id="22" name="Line 79">
          <a:extLst>
            <a:ext uri="{FF2B5EF4-FFF2-40B4-BE49-F238E27FC236}">
              <a16:creationId xmlns:a16="http://schemas.microsoft.com/office/drawing/2014/main" id="{79B1684E-3B25-4B8D-A64E-D20AFEAC3449}"/>
            </a:ext>
          </a:extLst>
        </xdr:cNvPr>
        <xdr:cNvSpPr>
          <a:spLocks noChangeShapeType="1"/>
        </xdr:cNvSpPr>
      </xdr:nvSpPr>
      <xdr:spPr bwMode="auto">
        <a:xfrm flipH="1">
          <a:off x="15834360" y="28613100"/>
          <a:ext cx="15011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0</xdr:colOff>
      <xdr:row>163</xdr:row>
      <xdr:rowOff>0</xdr:rowOff>
    </xdr:from>
    <xdr:to>
      <xdr:col>35</xdr:col>
      <xdr:colOff>0</xdr:colOff>
      <xdr:row>163</xdr:row>
      <xdr:rowOff>0</xdr:rowOff>
    </xdr:to>
    <xdr:sp macro="" textlink="">
      <xdr:nvSpPr>
        <xdr:cNvPr id="23" name="Line 80">
          <a:extLst>
            <a:ext uri="{FF2B5EF4-FFF2-40B4-BE49-F238E27FC236}">
              <a16:creationId xmlns:a16="http://schemas.microsoft.com/office/drawing/2014/main" id="{9E74C64F-0F81-45F1-A967-9B64ECE65576}"/>
            </a:ext>
          </a:extLst>
        </xdr:cNvPr>
        <xdr:cNvSpPr>
          <a:spLocks noChangeShapeType="1"/>
        </xdr:cNvSpPr>
      </xdr:nvSpPr>
      <xdr:spPr bwMode="auto">
        <a:xfrm>
          <a:off x="1584198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163</xdr:row>
      <xdr:rowOff>0</xdr:rowOff>
    </xdr:from>
    <xdr:to>
      <xdr:col>42</xdr:col>
      <xdr:colOff>7620</xdr:colOff>
      <xdr:row>163</xdr:row>
      <xdr:rowOff>0</xdr:rowOff>
    </xdr:to>
    <xdr:sp macro="" textlink="">
      <xdr:nvSpPr>
        <xdr:cNvPr id="24" name="Line 81">
          <a:extLst>
            <a:ext uri="{FF2B5EF4-FFF2-40B4-BE49-F238E27FC236}">
              <a16:creationId xmlns:a16="http://schemas.microsoft.com/office/drawing/2014/main" id="{D2BD9E37-1831-4537-9862-14A31EE30490}"/>
            </a:ext>
          </a:extLst>
        </xdr:cNvPr>
        <xdr:cNvSpPr>
          <a:spLocks noChangeShapeType="1"/>
        </xdr:cNvSpPr>
      </xdr:nvSpPr>
      <xdr:spPr bwMode="auto">
        <a:xfrm>
          <a:off x="2022348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76200</xdr:colOff>
      <xdr:row>163</xdr:row>
      <xdr:rowOff>0</xdr:rowOff>
    </xdr:from>
    <xdr:to>
      <xdr:col>24</xdr:col>
      <xdr:colOff>76200</xdr:colOff>
      <xdr:row>163</xdr:row>
      <xdr:rowOff>0</xdr:rowOff>
    </xdr:to>
    <xdr:sp macro="" textlink="">
      <xdr:nvSpPr>
        <xdr:cNvPr id="25" name="Line 82">
          <a:extLst>
            <a:ext uri="{FF2B5EF4-FFF2-40B4-BE49-F238E27FC236}">
              <a16:creationId xmlns:a16="http://schemas.microsoft.com/office/drawing/2014/main" id="{186727F8-BC2E-47DD-BE1E-DA6D4ED89F1C}"/>
            </a:ext>
          </a:extLst>
        </xdr:cNvPr>
        <xdr:cNvSpPr>
          <a:spLocks noChangeShapeType="1"/>
        </xdr:cNvSpPr>
      </xdr:nvSpPr>
      <xdr:spPr bwMode="auto">
        <a:xfrm>
          <a:off x="90449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281940</xdr:colOff>
      <xdr:row>163</xdr:row>
      <xdr:rowOff>0</xdr:rowOff>
    </xdr:from>
    <xdr:to>
      <xdr:col>28</xdr:col>
      <xdr:colOff>281940</xdr:colOff>
      <xdr:row>163</xdr:row>
      <xdr:rowOff>0</xdr:rowOff>
    </xdr:to>
    <xdr:sp macro="" textlink="">
      <xdr:nvSpPr>
        <xdr:cNvPr id="26" name="Line 83">
          <a:extLst>
            <a:ext uri="{FF2B5EF4-FFF2-40B4-BE49-F238E27FC236}">
              <a16:creationId xmlns:a16="http://schemas.microsoft.com/office/drawing/2014/main" id="{C5B7D495-DD00-44B6-8A1A-C6723F51DB6E}"/>
            </a:ext>
          </a:extLst>
        </xdr:cNvPr>
        <xdr:cNvSpPr>
          <a:spLocks noChangeShapeType="1"/>
        </xdr:cNvSpPr>
      </xdr:nvSpPr>
      <xdr:spPr bwMode="auto">
        <a:xfrm>
          <a:off x="117500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163</xdr:row>
      <xdr:rowOff>0</xdr:rowOff>
    </xdr:from>
    <xdr:to>
      <xdr:col>24</xdr:col>
      <xdr:colOff>0</xdr:colOff>
      <xdr:row>163</xdr:row>
      <xdr:rowOff>0</xdr:rowOff>
    </xdr:to>
    <xdr:sp macro="" textlink="">
      <xdr:nvSpPr>
        <xdr:cNvPr id="27" name="Line 90">
          <a:extLst>
            <a:ext uri="{FF2B5EF4-FFF2-40B4-BE49-F238E27FC236}">
              <a16:creationId xmlns:a16="http://schemas.microsoft.com/office/drawing/2014/main" id="{2600F3E6-B4A7-4148-B499-71D3AB75FC92}"/>
            </a:ext>
          </a:extLst>
        </xdr:cNvPr>
        <xdr:cNvSpPr>
          <a:spLocks noChangeShapeType="1"/>
        </xdr:cNvSpPr>
      </xdr:nvSpPr>
      <xdr:spPr bwMode="auto">
        <a:xfrm>
          <a:off x="89687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342900</xdr:colOff>
      <xdr:row>163</xdr:row>
      <xdr:rowOff>0</xdr:rowOff>
    </xdr:from>
    <xdr:to>
      <xdr:col>28</xdr:col>
      <xdr:colOff>342900</xdr:colOff>
      <xdr:row>163</xdr:row>
      <xdr:rowOff>0</xdr:rowOff>
    </xdr:to>
    <xdr:sp macro="" textlink="">
      <xdr:nvSpPr>
        <xdr:cNvPr id="28" name="Line 91">
          <a:extLst>
            <a:ext uri="{FF2B5EF4-FFF2-40B4-BE49-F238E27FC236}">
              <a16:creationId xmlns:a16="http://schemas.microsoft.com/office/drawing/2014/main" id="{F9905F1F-F4C0-4242-A22F-3CAA0BBBB8D1}"/>
            </a:ext>
          </a:extLst>
        </xdr:cNvPr>
        <xdr:cNvSpPr>
          <a:spLocks noChangeShapeType="1"/>
        </xdr:cNvSpPr>
      </xdr:nvSpPr>
      <xdr:spPr bwMode="auto">
        <a:xfrm>
          <a:off x="1181100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198120</xdr:colOff>
      <xdr:row>163</xdr:row>
      <xdr:rowOff>0</xdr:rowOff>
    </xdr:from>
    <xdr:to>
      <xdr:col>23</xdr:col>
      <xdr:colOff>198120</xdr:colOff>
      <xdr:row>163</xdr:row>
      <xdr:rowOff>0</xdr:rowOff>
    </xdr:to>
    <xdr:sp macro="" textlink="">
      <xdr:nvSpPr>
        <xdr:cNvPr id="29" name="Line 98">
          <a:extLst>
            <a:ext uri="{FF2B5EF4-FFF2-40B4-BE49-F238E27FC236}">
              <a16:creationId xmlns:a16="http://schemas.microsoft.com/office/drawing/2014/main" id="{AFDD288E-BC9F-43BE-930A-CF4B146C033D}"/>
            </a:ext>
          </a:extLst>
        </xdr:cNvPr>
        <xdr:cNvSpPr>
          <a:spLocks noChangeShapeType="1"/>
        </xdr:cNvSpPr>
      </xdr:nvSpPr>
      <xdr:spPr bwMode="auto">
        <a:xfrm>
          <a:off x="85420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7620</xdr:colOff>
      <xdr:row>163</xdr:row>
      <xdr:rowOff>0</xdr:rowOff>
    </xdr:from>
    <xdr:to>
      <xdr:col>23</xdr:col>
      <xdr:colOff>7620</xdr:colOff>
      <xdr:row>163</xdr:row>
      <xdr:rowOff>0</xdr:rowOff>
    </xdr:to>
    <xdr:sp macro="" textlink="">
      <xdr:nvSpPr>
        <xdr:cNvPr id="30" name="Line 101">
          <a:extLst>
            <a:ext uri="{FF2B5EF4-FFF2-40B4-BE49-F238E27FC236}">
              <a16:creationId xmlns:a16="http://schemas.microsoft.com/office/drawing/2014/main" id="{ADED4EA0-87FB-4A2A-9DC5-4E13B9B14C5F}"/>
            </a:ext>
          </a:extLst>
        </xdr:cNvPr>
        <xdr:cNvSpPr>
          <a:spLocks noChangeShapeType="1"/>
        </xdr:cNvSpPr>
      </xdr:nvSpPr>
      <xdr:spPr bwMode="auto">
        <a:xfrm>
          <a:off x="83515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472440</xdr:colOff>
      <xdr:row>163</xdr:row>
      <xdr:rowOff>0</xdr:rowOff>
    </xdr:from>
    <xdr:to>
      <xdr:col>22</xdr:col>
      <xdr:colOff>472440</xdr:colOff>
      <xdr:row>163</xdr:row>
      <xdr:rowOff>0</xdr:rowOff>
    </xdr:to>
    <xdr:sp macro="" textlink="">
      <xdr:nvSpPr>
        <xdr:cNvPr id="31" name="Line 103">
          <a:extLst>
            <a:ext uri="{FF2B5EF4-FFF2-40B4-BE49-F238E27FC236}">
              <a16:creationId xmlns:a16="http://schemas.microsoft.com/office/drawing/2014/main" id="{FF52B20D-92A6-4360-82E9-71A31A615D5F}"/>
            </a:ext>
          </a:extLst>
        </xdr:cNvPr>
        <xdr:cNvSpPr>
          <a:spLocks noChangeShapeType="1"/>
        </xdr:cNvSpPr>
      </xdr:nvSpPr>
      <xdr:spPr bwMode="auto">
        <a:xfrm>
          <a:off x="81991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129540</xdr:colOff>
      <xdr:row>163</xdr:row>
      <xdr:rowOff>0</xdr:rowOff>
    </xdr:from>
    <xdr:to>
      <xdr:col>24</xdr:col>
      <xdr:colOff>129540</xdr:colOff>
      <xdr:row>163</xdr:row>
      <xdr:rowOff>0</xdr:rowOff>
    </xdr:to>
    <xdr:sp macro="" textlink="">
      <xdr:nvSpPr>
        <xdr:cNvPr id="32" name="Line 104">
          <a:extLst>
            <a:ext uri="{FF2B5EF4-FFF2-40B4-BE49-F238E27FC236}">
              <a16:creationId xmlns:a16="http://schemas.microsoft.com/office/drawing/2014/main" id="{FD4BDF3A-4ED2-4AA8-95CB-06748A1FB794}"/>
            </a:ext>
          </a:extLst>
        </xdr:cNvPr>
        <xdr:cNvSpPr>
          <a:spLocks noChangeShapeType="1"/>
        </xdr:cNvSpPr>
      </xdr:nvSpPr>
      <xdr:spPr bwMode="auto">
        <a:xfrm>
          <a:off x="909828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556260</xdr:colOff>
      <xdr:row>163</xdr:row>
      <xdr:rowOff>0</xdr:rowOff>
    </xdr:from>
    <xdr:to>
      <xdr:col>23</xdr:col>
      <xdr:colOff>556260</xdr:colOff>
      <xdr:row>163</xdr:row>
      <xdr:rowOff>0</xdr:rowOff>
    </xdr:to>
    <xdr:sp macro="" textlink="">
      <xdr:nvSpPr>
        <xdr:cNvPr id="33" name="Line 118">
          <a:extLst>
            <a:ext uri="{FF2B5EF4-FFF2-40B4-BE49-F238E27FC236}">
              <a16:creationId xmlns:a16="http://schemas.microsoft.com/office/drawing/2014/main" id="{CC21C9C4-DADD-4B80-8057-CD564824195E}"/>
            </a:ext>
          </a:extLst>
        </xdr:cNvPr>
        <xdr:cNvSpPr>
          <a:spLocks noChangeShapeType="1"/>
        </xdr:cNvSpPr>
      </xdr:nvSpPr>
      <xdr:spPr bwMode="auto">
        <a:xfrm>
          <a:off x="890016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548640</xdr:colOff>
      <xdr:row>163</xdr:row>
      <xdr:rowOff>0</xdr:rowOff>
    </xdr:from>
    <xdr:to>
      <xdr:col>23</xdr:col>
      <xdr:colOff>548640</xdr:colOff>
      <xdr:row>163</xdr:row>
      <xdr:rowOff>0</xdr:rowOff>
    </xdr:to>
    <xdr:sp macro="" textlink="">
      <xdr:nvSpPr>
        <xdr:cNvPr id="34" name="Line 119">
          <a:extLst>
            <a:ext uri="{FF2B5EF4-FFF2-40B4-BE49-F238E27FC236}">
              <a16:creationId xmlns:a16="http://schemas.microsoft.com/office/drawing/2014/main" id="{3F211AAA-1D5C-466D-98BF-184C1BF92FE3}"/>
            </a:ext>
          </a:extLst>
        </xdr:cNvPr>
        <xdr:cNvSpPr>
          <a:spLocks noChangeShapeType="1"/>
        </xdr:cNvSpPr>
      </xdr:nvSpPr>
      <xdr:spPr bwMode="auto">
        <a:xfrm flipV="1">
          <a:off x="88925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525780</xdr:colOff>
      <xdr:row>163</xdr:row>
      <xdr:rowOff>0</xdr:rowOff>
    </xdr:from>
    <xdr:to>
      <xdr:col>23</xdr:col>
      <xdr:colOff>525780</xdr:colOff>
      <xdr:row>163</xdr:row>
      <xdr:rowOff>0</xdr:rowOff>
    </xdr:to>
    <xdr:sp macro="" textlink="">
      <xdr:nvSpPr>
        <xdr:cNvPr id="35" name="Line 120">
          <a:extLst>
            <a:ext uri="{FF2B5EF4-FFF2-40B4-BE49-F238E27FC236}">
              <a16:creationId xmlns:a16="http://schemas.microsoft.com/office/drawing/2014/main" id="{FBE3DE54-1F59-4EEB-8C4F-FD9643A7195C}"/>
            </a:ext>
          </a:extLst>
        </xdr:cNvPr>
        <xdr:cNvSpPr>
          <a:spLocks noChangeShapeType="1"/>
        </xdr:cNvSpPr>
      </xdr:nvSpPr>
      <xdr:spPr bwMode="auto">
        <a:xfrm>
          <a:off x="886968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525780</xdr:colOff>
      <xdr:row>163</xdr:row>
      <xdr:rowOff>0</xdr:rowOff>
    </xdr:from>
    <xdr:to>
      <xdr:col>23</xdr:col>
      <xdr:colOff>525780</xdr:colOff>
      <xdr:row>163</xdr:row>
      <xdr:rowOff>0</xdr:rowOff>
    </xdr:to>
    <xdr:sp macro="" textlink="">
      <xdr:nvSpPr>
        <xdr:cNvPr id="36" name="Line 121">
          <a:extLst>
            <a:ext uri="{FF2B5EF4-FFF2-40B4-BE49-F238E27FC236}">
              <a16:creationId xmlns:a16="http://schemas.microsoft.com/office/drawing/2014/main" id="{8B7B48D7-3A79-4742-825A-2E1D85DCAAC4}"/>
            </a:ext>
          </a:extLst>
        </xdr:cNvPr>
        <xdr:cNvSpPr>
          <a:spLocks noChangeShapeType="1"/>
        </xdr:cNvSpPr>
      </xdr:nvSpPr>
      <xdr:spPr bwMode="auto">
        <a:xfrm flipV="1">
          <a:off x="886968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198120</xdr:colOff>
      <xdr:row>163</xdr:row>
      <xdr:rowOff>0</xdr:rowOff>
    </xdr:from>
    <xdr:to>
      <xdr:col>23</xdr:col>
      <xdr:colOff>198120</xdr:colOff>
      <xdr:row>163</xdr:row>
      <xdr:rowOff>0</xdr:rowOff>
    </xdr:to>
    <xdr:sp macro="" textlink="">
      <xdr:nvSpPr>
        <xdr:cNvPr id="37" name="Line 146">
          <a:extLst>
            <a:ext uri="{FF2B5EF4-FFF2-40B4-BE49-F238E27FC236}">
              <a16:creationId xmlns:a16="http://schemas.microsoft.com/office/drawing/2014/main" id="{BE8AFE00-3578-47A4-981F-67C2D83CC352}"/>
            </a:ext>
          </a:extLst>
        </xdr:cNvPr>
        <xdr:cNvSpPr>
          <a:spLocks noChangeShapeType="1"/>
        </xdr:cNvSpPr>
      </xdr:nvSpPr>
      <xdr:spPr bwMode="auto">
        <a:xfrm>
          <a:off x="85420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7620</xdr:colOff>
      <xdr:row>163</xdr:row>
      <xdr:rowOff>0</xdr:rowOff>
    </xdr:from>
    <xdr:to>
      <xdr:col>23</xdr:col>
      <xdr:colOff>7620</xdr:colOff>
      <xdr:row>163</xdr:row>
      <xdr:rowOff>0</xdr:rowOff>
    </xdr:to>
    <xdr:sp macro="" textlink="">
      <xdr:nvSpPr>
        <xdr:cNvPr id="38" name="Line 149">
          <a:extLst>
            <a:ext uri="{FF2B5EF4-FFF2-40B4-BE49-F238E27FC236}">
              <a16:creationId xmlns:a16="http://schemas.microsoft.com/office/drawing/2014/main" id="{FE6AD509-02FE-4A8B-85B9-88045D466F72}"/>
            </a:ext>
          </a:extLst>
        </xdr:cNvPr>
        <xdr:cNvSpPr>
          <a:spLocks noChangeShapeType="1"/>
        </xdr:cNvSpPr>
      </xdr:nvSpPr>
      <xdr:spPr bwMode="auto">
        <a:xfrm>
          <a:off x="83515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472440</xdr:colOff>
      <xdr:row>163</xdr:row>
      <xdr:rowOff>0</xdr:rowOff>
    </xdr:from>
    <xdr:to>
      <xdr:col>22</xdr:col>
      <xdr:colOff>472440</xdr:colOff>
      <xdr:row>163</xdr:row>
      <xdr:rowOff>0</xdr:rowOff>
    </xdr:to>
    <xdr:sp macro="" textlink="">
      <xdr:nvSpPr>
        <xdr:cNvPr id="39" name="Line 151">
          <a:extLst>
            <a:ext uri="{FF2B5EF4-FFF2-40B4-BE49-F238E27FC236}">
              <a16:creationId xmlns:a16="http://schemas.microsoft.com/office/drawing/2014/main" id="{6B07827F-DE06-4E8F-A9B1-0E5ED2FE192D}"/>
            </a:ext>
          </a:extLst>
        </xdr:cNvPr>
        <xdr:cNvSpPr>
          <a:spLocks noChangeShapeType="1"/>
        </xdr:cNvSpPr>
      </xdr:nvSpPr>
      <xdr:spPr bwMode="auto">
        <a:xfrm>
          <a:off x="81991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373380</xdr:colOff>
      <xdr:row>163</xdr:row>
      <xdr:rowOff>0</xdr:rowOff>
    </xdr:from>
    <xdr:to>
      <xdr:col>24</xdr:col>
      <xdr:colOff>373380</xdr:colOff>
      <xdr:row>163</xdr:row>
      <xdr:rowOff>0</xdr:rowOff>
    </xdr:to>
    <xdr:sp macro="" textlink="">
      <xdr:nvSpPr>
        <xdr:cNvPr id="40" name="Line 152">
          <a:extLst>
            <a:ext uri="{FF2B5EF4-FFF2-40B4-BE49-F238E27FC236}">
              <a16:creationId xmlns:a16="http://schemas.microsoft.com/office/drawing/2014/main" id="{0F62A09A-42CD-4A39-B6A5-6E64686EC05E}"/>
            </a:ext>
          </a:extLst>
        </xdr:cNvPr>
        <xdr:cNvSpPr>
          <a:spLocks noChangeShapeType="1"/>
        </xdr:cNvSpPr>
      </xdr:nvSpPr>
      <xdr:spPr bwMode="auto">
        <a:xfrm>
          <a:off x="93421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274320</xdr:colOff>
      <xdr:row>163</xdr:row>
      <xdr:rowOff>0</xdr:rowOff>
    </xdr:from>
    <xdr:to>
      <xdr:col>21</xdr:col>
      <xdr:colOff>274320</xdr:colOff>
      <xdr:row>163</xdr:row>
      <xdr:rowOff>0</xdr:rowOff>
    </xdr:to>
    <xdr:sp macro="" textlink="">
      <xdr:nvSpPr>
        <xdr:cNvPr id="41" name="Line 177">
          <a:extLst>
            <a:ext uri="{FF2B5EF4-FFF2-40B4-BE49-F238E27FC236}">
              <a16:creationId xmlns:a16="http://schemas.microsoft.com/office/drawing/2014/main" id="{329862F5-9A7F-4896-943B-DA55ABD52E82}"/>
            </a:ext>
          </a:extLst>
        </xdr:cNvPr>
        <xdr:cNvSpPr>
          <a:spLocks noChangeShapeType="1"/>
        </xdr:cNvSpPr>
      </xdr:nvSpPr>
      <xdr:spPr bwMode="auto">
        <a:xfrm>
          <a:off x="76352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228600</xdr:colOff>
      <xdr:row>163</xdr:row>
      <xdr:rowOff>0</xdr:rowOff>
    </xdr:from>
    <xdr:to>
      <xdr:col>21</xdr:col>
      <xdr:colOff>228600</xdr:colOff>
      <xdr:row>163</xdr:row>
      <xdr:rowOff>0</xdr:rowOff>
    </xdr:to>
    <xdr:sp macro="" textlink="">
      <xdr:nvSpPr>
        <xdr:cNvPr id="42" name="Line 179">
          <a:extLst>
            <a:ext uri="{FF2B5EF4-FFF2-40B4-BE49-F238E27FC236}">
              <a16:creationId xmlns:a16="http://schemas.microsoft.com/office/drawing/2014/main" id="{4A05BBD7-147E-4678-B3EE-3D269FE3B9A8}"/>
            </a:ext>
          </a:extLst>
        </xdr:cNvPr>
        <xdr:cNvSpPr>
          <a:spLocks noChangeShapeType="1"/>
        </xdr:cNvSpPr>
      </xdr:nvSpPr>
      <xdr:spPr bwMode="auto">
        <a:xfrm flipV="1">
          <a:off x="75895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266700</xdr:colOff>
      <xdr:row>163</xdr:row>
      <xdr:rowOff>0</xdr:rowOff>
    </xdr:from>
    <xdr:to>
      <xdr:col>21</xdr:col>
      <xdr:colOff>266700</xdr:colOff>
      <xdr:row>163</xdr:row>
      <xdr:rowOff>0</xdr:rowOff>
    </xdr:to>
    <xdr:sp macro="" textlink="">
      <xdr:nvSpPr>
        <xdr:cNvPr id="43" name="Line 180">
          <a:extLst>
            <a:ext uri="{FF2B5EF4-FFF2-40B4-BE49-F238E27FC236}">
              <a16:creationId xmlns:a16="http://schemas.microsoft.com/office/drawing/2014/main" id="{2CB76807-2DFB-49F9-B059-56614407EFC3}"/>
            </a:ext>
          </a:extLst>
        </xdr:cNvPr>
        <xdr:cNvSpPr>
          <a:spLocks noChangeShapeType="1"/>
        </xdr:cNvSpPr>
      </xdr:nvSpPr>
      <xdr:spPr bwMode="auto">
        <a:xfrm>
          <a:off x="76276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236220</xdr:colOff>
      <xdr:row>163</xdr:row>
      <xdr:rowOff>0</xdr:rowOff>
    </xdr:from>
    <xdr:to>
      <xdr:col>21</xdr:col>
      <xdr:colOff>236220</xdr:colOff>
      <xdr:row>163</xdr:row>
      <xdr:rowOff>0</xdr:rowOff>
    </xdr:to>
    <xdr:sp macro="" textlink="">
      <xdr:nvSpPr>
        <xdr:cNvPr id="44" name="Line 181">
          <a:extLst>
            <a:ext uri="{FF2B5EF4-FFF2-40B4-BE49-F238E27FC236}">
              <a16:creationId xmlns:a16="http://schemas.microsoft.com/office/drawing/2014/main" id="{00E17F06-1EE7-4F91-8922-A6DECD45656D}"/>
            </a:ext>
          </a:extLst>
        </xdr:cNvPr>
        <xdr:cNvSpPr>
          <a:spLocks noChangeShapeType="1"/>
        </xdr:cNvSpPr>
      </xdr:nvSpPr>
      <xdr:spPr bwMode="auto">
        <a:xfrm flipV="1">
          <a:off x="75971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137160</xdr:colOff>
      <xdr:row>163</xdr:row>
      <xdr:rowOff>0</xdr:rowOff>
    </xdr:from>
    <xdr:to>
      <xdr:col>25</xdr:col>
      <xdr:colOff>137160</xdr:colOff>
      <xdr:row>163</xdr:row>
      <xdr:rowOff>0</xdr:rowOff>
    </xdr:to>
    <xdr:sp macro="" textlink="">
      <xdr:nvSpPr>
        <xdr:cNvPr id="45" name="Line 190">
          <a:extLst>
            <a:ext uri="{FF2B5EF4-FFF2-40B4-BE49-F238E27FC236}">
              <a16:creationId xmlns:a16="http://schemas.microsoft.com/office/drawing/2014/main" id="{617C6B11-F67C-43F5-B5BD-98AE00B2B165}"/>
            </a:ext>
          </a:extLst>
        </xdr:cNvPr>
        <xdr:cNvSpPr>
          <a:spLocks noChangeShapeType="1"/>
        </xdr:cNvSpPr>
      </xdr:nvSpPr>
      <xdr:spPr bwMode="auto">
        <a:xfrm>
          <a:off x="97307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129540</xdr:colOff>
      <xdr:row>163</xdr:row>
      <xdr:rowOff>0</xdr:rowOff>
    </xdr:from>
    <xdr:to>
      <xdr:col>25</xdr:col>
      <xdr:colOff>129540</xdr:colOff>
      <xdr:row>163</xdr:row>
      <xdr:rowOff>0</xdr:rowOff>
    </xdr:to>
    <xdr:sp macro="" textlink="">
      <xdr:nvSpPr>
        <xdr:cNvPr id="46" name="Line 191">
          <a:extLst>
            <a:ext uri="{FF2B5EF4-FFF2-40B4-BE49-F238E27FC236}">
              <a16:creationId xmlns:a16="http://schemas.microsoft.com/office/drawing/2014/main" id="{FE1898F3-40CE-4386-9844-7D35E5F908B5}"/>
            </a:ext>
          </a:extLst>
        </xdr:cNvPr>
        <xdr:cNvSpPr>
          <a:spLocks noChangeShapeType="1"/>
        </xdr:cNvSpPr>
      </xdr:nvSpPr>
      <xdr:spPr bwMode="auto">
        <a:xfrm flipV="1">
          <a:off x="97231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205740</xdr:colOff>
      <xdr:row>163</xdr:row>
      <xdr:rowOff>0</xdr:rowOff>
    </xdr:from>
    <xdr:to>
      <xdr:col>23</xdr:col>
      <xdr:colOff>205740</xdr:colOff>
      <xdr:row>163</xdr:row>
      <xdr:rowOff>0</xdr:rowOff>
    </xdr:to>
    <xdr:sp macro="" textlink="">
      <xdr:nvSpPr>
        <xdr:cNvPr id="47" name="Line 192">
          <a:extLst>
            <a:ext uri="{FF2B5EF4-FFF2-40B4-BE49-F238E27FC236}">
              <a16:creationId xmlns:a16="http://schemas.microsoft.com/office/drawing/2014/main" id="{88F2D216-78CD-4364-8162-BC1939FE1D75}"/>
            </a:ext>
          </a:extLst>
        </xdr:cNvPr>
        <xdr:cNvSpPr>
          <a:spLocks noChangeShapeType="1"/>
        </xdr:cNvSpPr>
      </xdr:nvSpPr>
      <xdr:spPr bwMode="auto">
        <a:xfrm>
          <a:off x="85496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236220</xdr:colOff>
      <xdr:row>163</xdr:row>
      <xdr:rowOff>0</xdr:rowOff>
    </xdr:from>
    <xdr:to>
      <xdr:col>24</xdr:col>
      <xdr:colOff>236220</xdr:colOff>
      <xdr:row>163</xdr:row>
      <xdr:rowOff>0</xdr:rowOff>
    </xdr:to>
    <xdr:sp macro="" textlink="">
      <xdr:nvSpPr>
        <xdr:cNvPr id="48" name="Line 193">
          <a:extLst>
            <a:ext uri="{FF2B5EF4-FFF2-40B4-BE49-F238E27FC236}">
              <a16:creationId xmlns:a16="http://schemas.microsoft.com/office/drawing/2014/main" id="{F61206FE-D178-4A04-9C29-C6F9B963CA4E}"/>
            </a:ext>
          </a:extLst>
        </xdr:cNvPr>
        <xdr:cNvSpPr>
          <a:spLocks noChangeShapeType="1"/>
        </xdr:cNvSpPr>
      </xdr:nvSpPr>
      <xdr:spPr bwMode="auto">
        <a:xfrm>
          <a:off x="920496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342900</xdr:colOff>
      <xdr:row>163</xdr:row>
      <xdr:rowOff>0</xdr:rowOff>
    </xdr:from>
    <xdr:to>
      <xdr:col>21</xdr:col>
      <xdr:colOff>342900</xdr:colOff>
      <xdr:row>163</xdr:row>
      <xdr:rowOff>0</xdr:rowOff>
    </xdr:to>
    <xdr:sp macro="" textlink="">
      <xdr:nvSpPr>
        <xdr:cNvPr id="49" name="Line 197">
          <a:extLst>
            <a:ext uri="{FF2B5EF4-FFF2-40B4-BE49-F238E27FC236}">
              <a16:creationId xmlns:a16="http://schemas.microsoft.com/office/drawing/2014/main" id="{A8616DB8-7956-4065-B64B-BBEBBDC005DA}"/>
            </a:ext>
          </a:extLst>
        </xdr:cNvPr>
        <xdr:cNvSpPr>
          <a:spLocks noChangeShapeType="1"/>
        </xdr:cNvSpPr>
      </xdr:nvSpPr>
      <xdr:spPr bwMode="auto">
        <a:xfrm>
          <a:off x="77038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7620</xdr:colOff>
      <xdr:row>163</xdr:row>
      <xdr:rowOff>0</xdr:rowOff>
    </xdr:from>
    <xdr:to>
      <xdr:col>23</xdr:col>
      <xdr:colOff>7620</xdr:colOff>
      <xdr:row>163</xdr:row>
      <xdr:rowOff>0</xdr:rowOff>
    </xdr:to>
    <xdr:sp macro="" textlink="">
      <xdr:nvSpPr>
        <xdr:cNvPr id="50" name="Line 199">
          <a:extLst>
            <a:ext uri="{FF2B5EF4-FFF2-40B4-BE49-F238E27FC236}">
              <a16:creationId xmlns:a16="http://schemas.microsoft.com/office/drawing/2014/main" id="{198D0D03-7F02-4E43-B0CF-E6192F239899}"/>
            </a:ext>
          </a:extLst>
        </xdr:cNvPr>
        <xdr:cNvSpPr>
          <a:spLocks noChangeShapeType="1"/>
        </xdr:cNvSpPr>
      </xdr:nvSpPr>
      <xdr:spPr bwMode="auto">
        <a:xfrm>
          <a:off x="83515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220980</xdr:colOff>
      <xdr:row>163</xdr:row>
      <xdr:rowOff>0</xdr:rowOff>
    </xdr:from>
    <xdr:to>
      <xdr:col>24</xdr:col>
      <xdr:colOff>220980</xdr:colOff>
      <xdr:row>163</xdr:row>
      <xdr:rowOff>0</xdr:rowOff>
    </xdr:to>
    <xdr:sp macro="" textlink="">
      <xdr:nvSpPr>
        <xdr:cNvPr id="51" name="Line 208">
          <a:extLst>
            <a:ext uri="{FF2B5EF4-FFF2-40B4-BE49-F238E27FC236}">
              <a16:creationId xmlns:a16="http://schemas.microsoft.com/office/drawing/2014/main" id="{5CD7E16D-1EC6-4445-BE3F-E4BFFB3474C0}"/>
            </a:ext>
          </a:extLst>
        </xdr:cNvPr>
        <xdr:cNvSpPr>
          <a:spLocks noChangeShapeType="1"/>
        </xdr:cNvSpPr>
      </xdr:nvSpPr>
      <xdr:spPr bwMode="auto">
        <a:xfrm>
          <a:off x="91897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533400</xdr:colOff>
      <xdr:row>163</xdr:row>
      <xdr:rowOff>0</xdr:rowOff>
    </xdr:from>
    <xdr:to>
      <xdr:col>23</xdr:col>
      <xdr:colOff>533400</xdr:colOff>
      <xdr:row>163</xdr:row>
      <xdr:rowOff>0</xdr:rowOff>
    </xdr:to>
    <xdr:sp macro="" textlink="">
      <xdr:nvSpPr>
        <xdr:cNvPr id="52" name="Line 209">
          <a:extLst>
            <a:ext uri="{FF2B5EF4-FFF2-40B4-BE49-F238E27FC236}">
              <a16:creationId xmlns:a16="http://schemas.microsoft.com/office/drawing/2014/main" id="{4C5EDFC9-BA87-4E8A-BB5B-A187564AD473}"/>
            </a:ext>
          </a:extLst>
        </xdr:cNvPr>
        <xdr:cNvSpPr>
          <a:spLocks noChangeShapeType="1"/>
        </xdr:cNvSpPr>
      </xdr:nvSpPr>
      <xdr:spPr bwMode="auto">
        <a:xfrm flipV="1">
          <a:off x="887730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548640</xdr:colOff>
      <xdr:row>163</xdr:row>
      <xdr:rowOff>0</xdr:rowOff>
    </xdr:from>
    <xdr:to>
      <xdr:col>23</xdr:col>
      <xdr:colOff>548640</xdr:colOff>
      <xdr:row>163</xdr:row>
      <xdr:rowOff>0</xdr:rowOff>
    </xdr:to>
    <xdr:sp macro="" textlink="">
      <xdr:nvSpPr>
        <xdr:cNvPr id="53" name="Line 210">
          <a:extLst>
            <a:ext uri="{FF2B5EF4-FFF2-40B4-BE49-F238E27FC236}">
              <a16:creationId xmlns:a16="http://schemas.microsoft.com/office/drawing/2014/main" id="{F849FF6B-FB9F-4972-9DF3-BDEFAF679D5D}"/>
            </a:ext>
          </a:extLst>
        </xdr:cNvPr>
        <xdr:cNvSpPr>
          <a:spLocks noChangeShapeType="1"/>
        </xdr:cNvSpPr>
      </xdr:nvSpPr>
      <xdr:spPr bwMode="auto">
        <a:xfrm>
          <a:off x="88925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304800</xdr:colOff>
      <xdr:row>163</xdr:row>
      <xdr:rowOff>0</xdr:rowOff>
    </xdr:from>
    <xdr:to>
      <xdr:col>22</xdr:col>
      <xdr:colOff>304800</xdr:colOff>
      <xdr:row>163</xdr:row>
      <xdr:rowOff>0</xdr:rowOff>
    </xdr:to>
    <xdr:sp macro="" textlink="">
      <xdr:nvSpPr>
        <xdr:cNvPr id="54" name="Line 211">
          <a:extLst>
            <a:ext uri="{FF2B5EF4-FFF2-40B4-BE49-F238E27FC236}">
              <a16:creationId xmlns:a16="http://schemas.microsoft.com/office/drawing/2014/main" id="{36E189DA-7B0A-48F0-B55F-E89EDB7CBADB}"/>
            </a:ext>
          </a:extLst>
        </xdr:cNvPr>
        <xdr:cNvSpPr>
          <a:spLocks noChangeShapeType="1"/>
        </xdr:cNvSpPr>
      </xdr:nvSpPr>
      <xdr:spPr bwMode="auto">
        <a:xfrm>
          <a:off x="803148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22</xdr:col>
      <xdr:colOff>213360</xdr:colOff>
      <xdr:row>163</xdr:row>
      <xdr:rowOff>0</xdr:rowOff>
    </xdr:from>
    <xdr:to>
      <xdr:col>22</xdr:col>
      <xdr:colOff>220980</xdr:colOff>
      <xdr:row>163</xdr:row>
      <xdr:rowOff>0</xdr:rowOff>
    </xdr:to>
    <xdr:sp macro="" textlink="">
      <xdr:nvSpPr>
        <xdr:cNvPr id="55" name="Line 231">
          <a:extLst>
            <a:ext uri="{FF2B5EF4-FFF2-40B4-BE49-F238E27FC236}">
              <a16:creationId xmlns:a16="http://schemas.microsoft.com/office/drawing/2014/main" id="{81A53F6B-BCA9-4306-845F-F9564EFD15BD}"/>
            </a:ext>
          </a:extLst>
        </xdr:cNvPr>
        <xdr:cNvSpPr>
          <a:spLocks noChangeShapeType="1"/>
        </xdr:cNvSpPr>
      </xdr:nvSpPr>
      <xdr:spPr bwMode="auto">
        <a:xfrm flipH="1">
          <a:off x="7940040" y="28613100"/>
          <a:ext cx="7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163</xdr:row>
      <xdr:rowOff>0</xdr:rowOff>
    </xdr:from>
    <xdr:to>
      <xdr:col>21</xdr:col>
      <xdr:colOff>0</xdr:colOff>
      <xdr:row>163</xdr:row>
      <xdr:rowOff>0</xdr:rowOff>
    </xdr:to>
    <xdr:sp macro="" textlink="">
      <xdr:nvSpPr>
        <xdr:cNvPr id="56" name="Line 238">
          <a:extLst>
            <a:ext uri="{FF2B5EF4-FFF2-40B4-BE49-F238E27FC236}">
              <a16:creationId xmlns:a16="http://schemas.microsoft.com/office/drawing/2014/main" id="{1C47E2C7-4543-42EC-A8DB-DB253341B330}"/>
            </a:ext>
          </a:extLst>
        </xdr:cNvPr>
        <xdr:cNvSpPr>
          <a:spLocks noChangeShapeType="1"/>
        </xdr:cNvSpPr>
      </xdr:nvSpPr>
      <xdr:spPr bwMode="auto">
        <a:xfrm>
          <a:off x="73609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26</xdr:col>
      <xdr:colOff>312420</xdr:colOff>
      <xdr:row>163</xdr:row>
      <xdr:rowOff>0</xdr:rowOff>
    </xdr:from>
    <xdr:to>
      <xdr:col>26</xdr:col>
      <xdr:colOff>312420</xdr:colOff>
      <xdr:row>163</xdr:row>
      <xdr:rowOff>0</xdr:rowOff>
    </xdr:to>
    <xdr:sp macro="" textlink="">
      <xdr:nvSpPr>
        <xdr:cNvPr id="57" name="Line 239">
          <a:extLst>
            <a:ext uri="{FF2B5EF4-FFF2-40B4-BE49-F238E27FC236}">
              <a16:creationId xmlns:a16="http://schemas.microsoft.com/office/drawing/2014/main" id="{0A97472D-CD0F-4DE7-AE3A-123C4313B75D}"/>
            </a:ext>
          </a:extLst>
        </xdr:cNvPr>
        <xdr:cNvSpPr>
          <a:spLocks noChangeShapeType="1"/>
        </xdr:cNvSpPr>
      </xdr:nvSpPr>
      <xdr:spPr bwMode="auto">
        <a:xfrm>
          <a:off x="105308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160020</xdr:colOff>
      <xdr:row>163</xdr:row>
      <xdr:rowOff>0</xdr:rowOff>
    </xdr:from>
    <xdr:to>
      <xdr:col>23</xdr:col>
      <xdr:colOff>160020</xdr:colOff>
      <xdr:row>163</xdr:row>
      <xdr:rowOff>0</xdr:rowOff>
    </xdr:to>
    <xdr:sp macro="" textlink="">
      <xdr:nvSpPr>
        <xdr:cNvPr id="58" name="Line 243">
          <a:extLst>
            <a:ext uri="{FF2B5EF4-FFF2-40B4-BE49-F238E27FC236}">
              <a16:creationId xmlns:a16="http://schemas.microsoft.com/office/drawing/2014/main" id="{A303DF3B-2D97-40C5-A7DA-77DBC6147036}"/>
            </a:ext>
          </a:extLst>
        </xdr:cNvPr>
        <xdr:cNvSpPr>
          <a:spLocks noChangeShapeType="1"/>
        </xdr:cNvSpPr>
      </xdr:nvSpPr>
      <xdr:spPr bwMode="auto">
        <a:xfrm>
          <a:off x="850392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167640</xdr:colOff>
      <xdr:row>163</xdr:row>
      <xdr:rowOff>0</xdr:rowOff>
    </xdr:from>
    <xdr:to>
      <xdr:col>23</xdr:col>
      <xdr:colOff>167640</xdr:colOff>
      <xdr:row>163</xdr:row>
      <xdr:rowOff>0</xdr:rowOff>
    </xdr:to>
    <xdr:sp macro="" textlink="">
      <xdr:nvSpPr>
        <xdr:cNvPr id="59" name="Line 244">
          <a:extLst>
            <a:ext uri="{FF2B5EF4-FFF2-40B4-BE49-F238E27FC236}">
              <a16:creationId xmlns:a16="http://schemas.microsoft.com/office/drawing/2014/main" id="{E8794A6A-9C11-4A9A-9E48-E24D0B671D9F}"/>
            </a:ext>
          </a:extLst>
        </xdr:cNvPr>
        <xdr:cNvSpPr>
          <a:spLocks noChangeShapeType="1"/>
        </xdr:cNvSpPr>
      </xdr:nvSpPr>
      <xdr:spPr bwMode="auto">
        <a:xfrm flipV="1">
          <a:off x="851154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114300</xdr:colOff>
      <xdr:row>163</xdr:row>
      <xdr:rowOff>0</xdr:rowOff>
    </xdr:from>
    <xdr:to>
      <xdr:col>22</xdr:col>
      <xdr:colOff>114300</xdr:colOff>
      <xdr:row>163</xdr:row>
      <xdr:rowOff>0</xdr:rowOff>
    </xdr:to>
    <xdr:sp macro="" textlink="">
      <xdr:nvSpPr>
        <xdr:cNvPr id="60" name="Line 249">
          <a:extLst>
            <a:ext uri="{FF2B5EF4-FFF2-40B4-BE49-F238E27FC236}">
              <a16:creationId xmlns:a16="http://schemas.microsoft.com/office/drawing/2014/main" id="{932E966B-538C-4DF6-9051-29AA11FD014F}"/>
            </a:ext>
          </a:extLst>
        </xdr:cNvPr>
        <xdr:cNvSpPr>
          <a:spLocks noChangeShapeType="1"/>
        </xdr:cNvSpPr>
      </xdr:nvSpPr>
      <xdr:spPr bwMode="auto">
        <a:xfrm>
          <a:off x="7840980" y="28613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7620</xdr:colOff>
      <xdr:row>33</xdr:row>
      <xdr:rowOff>0</xdr:rowOff>
    </xdr:from>
    <xdr:to>
      <xdr:col>23</xdr:col>
      <xdr:colOff>7620</xdr:colOff>
      <xdr:row>37</xdr:row>
      <xdr:rowOff>68580</xdr:rowOff>
    </xdr:to>
    <xdr:sp macro="" textlink="">
      <xdr:nvSpPr>
        <xdr:cNvPr id="61" name="Line 253">
          <a:extLst>
            <a:ext uri="{FF2B5EF4-FFF2-40B4-BE49-F238E27FC236}">
              <a16:creationId xmlns:a16="http://schemas.microsoft.com/office/drawing/2014/main" id="{A2E2C4F0-0F10-4610-988C-830F0EA0AB92}"/>
            </a:ext>
          </a:extLst>
        </xdr:cNvPr>
        <xdr:cNvSpPr>
          <a:spLocks noChangeShapeType="1"/>
        </xdr:cNvSpPr>
      </xdr:nvSpPr>
      <xdr:spPr bwMode="auto">
        <a:xfrm>
          <a:off x="8351520" y="6004560"/>
          <a:ext cx="0" cy="8001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38100</xdr:colOff>
      <xdr:row>37</xdr:row>
      <xdr:rowOff>45720</xdr:rowOff>
    </xdr:from>
    <xdr:to>
      <xdr:col>22</xdr:col>
      <xdr:colOff>609600</xdr:colOff>
      <xdr:row>37</xdr:row>
      <xdr:rowOff>45720</xdr:rowOff>
    </xdr:to>
    <xdr:sp macro="" textlink="">
      <xdr:nvSpPr>
        <xdr:cNvPr id="62" name="Line 254">
          <a:extLst>
            <a:ext uri="{FF2B5EF4-FFF2-40B4-BE49-F238E27FC236}">
              <a16:creationId xmlns:a16="http://schemas.microsoft.com/office/drawing/2014/main" id="{8BF4C8B8-8723-42AE-9050-6F92188B2CAD}"/>
            </a:ext>
          </a:extLst>
        </xdr:cNvPr>
        <xdr:cNvSpPr>
          <a:spLocks noChangeShapeType="1"/>
        </xdr:cNvSpPr>
      </xdr:nvSpPr>
      <xdr:spPr bwMode="auto">
        <a:xfrm flipH="1">
          <a:off x="7399020" y="6781800"/>
          <a:ext cx="93726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42</xdr:row>
      <xdr:rowOff>45720</xdr:rowOff>
    </xdr:from>
    <xdr:to>
      <xdr:col>21</xdr:col>
      <xdr:colOff>0</xdr:colOff>
      <xdr:row>43</xdr:row>
      <xdr:rowOff>60960</xdr:rowOff>
    </xdr:to>
    <xdr:sp macro="" textlink="">
      <xdr:nvSpPr>
        <xdr:cNvPr id="63" name="Line 255">
          <a:extLst>
            <a:ext uri="{FF2B5EF4-FFF2-40B4-BE49-F238E27FC236}">
              <a16:creationId xmlns:a16="http://schemas.microsoft.com/office/drawing/2014/main" id="{CD6B18CD-BD0C-4810-B7AD-4560B2B7419D}"/>
            </a:ext>
          </a:extLst>
        </xdr:cNvPr>
        <xdr:cNvSpPr>
          <a:spLocks noChangeShapeType="1"/>
        </xdr:cNvSpPr>
      </xdr:nvSpPr>
      <xdr:spPr bwMode="auto">
        <a:xfrm>
          <a:off x="7360920" y="7620000"/>
          <a:ext cx="0" cy="1828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42</xdr:row>
      <xdr:rowOff>38100</xdr:rowOff>
    </xdr:from>
    <xdr:to>
      <xdr:col>25</xdr:col>
      <xdr:colOff>0</xdr:colOff>
      <xdr:row>43</xdr:row>
      <xdr:rowOff>22860</xdr:rowOff>
    </xdr:to>
    <xdr:sp macro="" textlink="">
      <xdr:nvSpPr>
        <xdr:cNvPr id="64" name="Line 257">
          <a:extLst>
            <a:ext uri="{FF2B5EF4-FFF2-40B4-BE49-F238E27FC236}">
              <a16:creationId xmlns:a16="http://schemas.microsoft.com/office/drawing/2014/main" id="{10C04E16-38A7-48CA-B2B2-CF083C5B68B4}"/>
            </a:ext>
          </a:extLst>
        </xdr:cNvPr>
        <xdr:cNvSpPr>
          <a:spLocks noChangeShapeType="1"/>
        </xdr:cNvSpPr>
      </xdr:nvSpPr>
      <xdr:spPr bwMode="auto">
        <a:xfrm>
          <a:off x="9593580" y="7612380"/>
          <a:ext cx="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167640</xdr:colOff>
      <xdr:row>42</xdr:row>
      <xdr:rowOff>121920</xdr:rowOff>
    </xdr:from>
    <xdr:to>
      <xdr:col>24</xdr:col>
      <xdr:colOff>617220</xdr:colOff>
      <xdr:row>42</xdr:row>
      <xdr:rowOff>121920</xdr:rowOff>
    </xdr:to>
    <xdr:sp macro="" textlink="">
      <xdr:nvSpPr>
        <xdr:cNvPr id="65" name="Line 258">
          <a:extLst>
            <a:ext uri="{FF2B5EF4-FFF2-40B4-BE49-F238E27FC236}">
              <a16:creationId xmlns:a16="http://schemas.microsoft.com/office/drawing/2014/main" id="{DFB588C4-592F-4750-AA5B-C75B5B83FCDC}"/>
            </a:ext>
          </a:extLst>
        </xdr:cNvPr>
        <xdr:cNvSpPr>
          <a:spLocks noChangeShapeType="1"/>
        </xdr:cNvSpPr>
      </xdr:nvSpPr>
      <xdr:spPr bwMode="auto">
        <a:xfrm>
          <a:off x="8511540" y="7696200"/>
          <a:ext cx="10744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7620</xdr:colOff>
      <xdr:row>42</xdr:row>
      <xdr:rowOff>106680</xdr:rowOff>
    </xdr:from>
    <xdr:to>
      <xdr:col>22</xdr:col>
      <xdr:colOff>579120</xdr:colOff>
      <xdr:row>42</xdr:row>
      <xdr:rowOff>106680</xdr:rowOff>
    </xdr:to>
    <xdr:sp macro="" textlink="">
      <xdr:nvSpPr>
        <xdr:cNvPr id="66" name="Line 259">
          <a:extLst>
            <a:ext uri="{FF2B5EF4-FFF2-40B4-BE49-F238E27FC236}">
              <a16:creationId xmlns:a16="http://schemas.microsoft.com/office/drawing/2014/main" id="{84120095-77E6-46A2-AB21-5B46385A7F09}"/>
            </a:ext>
          </a:extLst>
        </xdr:cNvPr>
        <xdr:cNvSpPr>
          <a:spLocks noChangeShapeType="1"/>
        </xdr:cNvSpPr>
      </xdr:nvSpPr>
      <xdr:spPr bwMode="auto">
        <a:xfrm flipH="1">
          <a:off x="7368540" y="7680960"/>
          <a:ext cx="937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99060</xdr:colOff>
      <xdr:row>41</xdr:row>
      <xdr:rowOff>144780</xdr:rowOff>
    </xdr:from>
    <xdr:to>
      <xdr:col>25</xdr:col>
      <xdr:colOff>281940</xdr:colOff>
      <xdr:row>41</xdr:row>
      <xdr:rowOff>144780</xdr:rowOff>
    </xdr:to>
    <xdr:sp macro="" textlink="">
      <xdr:nvSpPr>
        <xdr:cNvPr id="67" name="Line 260">
          <a:extLst>
            <a:ext uri="{FF2B5EF4-FFF2-40B4-BE49-F238E27FC236}">
              <a16:creationId xmlns:a16="http://schemas.microsoft.com/office/drawing/2014/main" id="{91B48ABD-BD2F-4C87-93C3-C0DD3C12AEF7}"/>
            </a:ext>
          </a:extLst>
        </xdr:cNvPr>
        <xdr:cNvSpPr>
          <a:spLocks noChangeShapeType="1"/>
        </xdr:cNvSpPr>
      </xdr:nvSpPr>
      <xdr:spPr bwMode="auto">
        <a:xfrm>
          <a:off x="9692640" y="7551420"/>
          <a:ext cx="1828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68580</xdr:colOff>
      <xdr:row>32</xdr:row>
      <xdr:rowOff>160020</xdr:rowOff>
    </xdr:from>
    <xdr:to>
      <xdr:col>25</xdr:col>
      <xdr:colOff>236220</xdr:colOff>
      <xdr:row>32</xdr:row>
      <xdr:rowOff>160020</xdr:rowOff>
    </xdr:to>
    <xdr:sp macro="" textlink="">
      <xdr:nvSpPr>
        <xdr:cNvPr id="68" name="Line 261">
          <a:extLst>
            <a:ext uri="{FF2B5EF4-FFF2-40B4-BE49-F238E27FC236}">
              <a16:creationId xmlns:a16="http://schemas.microsoft.com/office/drawing/2014/main" id="{2D004B04-3AF0-4177-8155-F9E7A29A49E5}"/>
            </a:ext>
          </a:extLst>
        </xdr:cNvPr>
        <xdr:cNvSpPr>
          <a:spLocks noChangeShapeType="1"/>
        </xdr:cNvSpPr>
      </xdr:nvSpPr>
      <xdr:spPr bwMode="auto">
        <a:xfrm>
          <a:off x="9662160" y="5996940"/>
          <a:ext cx="1676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182880</xdr:colOff>
      <xdr:row>38</xdr:row>
      <xdr:rowOff>45720</xdr:rowOff>
    </xdr:from>
    <xdr:to>
      <xdr:col>25</xdr:col>
      <xdr:colOff>182880</xdr:colOff>
      <xdr:row>41</xdr:row>
      <xdr:rowOff>137160</xdr:rowOff>
    </xdr:to>
    <xdr:sp macro="" textlink="">
      <xdr:nvSpPr>
        <xdr:cNvPr id="69" name="Line 262">
          <a:extLst>
            <a:ext uri="{FF2B5EF4-FFF2-40B4-BE49-F238E27FC236}">
              <a16:creationId xmlns:a16="http://schemas.microsoft.com/office/drawing/2014/main" id="{B2666DFD-486A-4556-9FF6-7B794F10ACA1}"/>
            </a:ext>
          </a:extLst>
        </xdr:cNvPr>
        <xdr:cNvSpPr>
          <a:spLocks noChangeShapeType="1"/>
        </xdr:cNvSpPr>
      </xdr:nvSpPr>
      <xdr:spPr bwMode="auto">
        <a:xfrm>
          <a:off x="9776460" y="6949440"/>
          <a:ext cx="0" cy="5943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25</xdr:col>
      <xdr:colOff>175260</xdr:colOff>
      <xdr:row>32</xdr:row>
      <xdr:rowOff>137160</xdr:rowOff>
    </xdr:from>
    <xdr:to>
      <xdr:col>25</xdr:col>
      <xdr:colOff>175260</xdr:colOff>
      <xdr:row>36</xdr:row>
      <xdr:rowOff>91440</xdr:rowOff>
    </xdr:to>
    <xdr:sp macro="" textlink="">
      <xdr:nvSpPr>
        <xdr:cNvPr id="70" name="Line 263">
          <a:extLst>
            <a:ext uri="{FF2B5EF4-FFF2-40B4-BE49-F238E27FC236}">
              <a16:creationId xmlns:a16="http://schemas.microsoft.com/office/drawing/2014/main" id="{11C4D8A5-EA8C-477E-AD7B-139EF9171A30}"/>
            </a:ext>
          </a:extLst>
        </xdr:cNvPr>
        <xdr:cNvSpPr>
          <a:spLocks noChangeShapeType="1"/>
        </xdr:cNvSpPr>
      </xdr:nvSpPr>
      <xdr:spPr bwMode="auto">
        <a:xfrm flipV="1">
          <a:off x="9768840" y="5974080"/>
          <a:ext cx="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320040</xdr:colOff>
      <xdr:row>33</xdr:row>
      <xdr:rowOff>0</xdr:rowOff>
    </xdr:from>
    <xdr:to>
      <xdr:col>21</xdr:col>
      <xdr:colOff>320040</xdr:colOff>
      <xdr:row>34</xdr:row>
      <xdr:rowOff>30480</xdr:rowOff>
    </xdr:to>
    <xdr:sp macro="" textlink="">
      <xdr:nvSpPr>
        <xdr:cNvPr id="71" name="Line 265">
          <a:extLst>
            <a:ext uri="{FF2B5EF4-FFF2-40B4-BE49-F238E27FC236}">
              <a16:creationId xmlns:a16="http://schemas.microsoft.com/office/drawing/2014/main" id="{34B6DAB0-62DC-49A7-B954-D00CD81B2F25}"/>
            </a:ext>
          </a:extLst>
        </xdr:cNvPr>
        <xdr:cNvSpPr>
          <a:spLocks noChangeShapeType="1"/>
        </xdr:cNvSpPr>
      </xdr:nvSpPr>
      <xdr:spPr bwMode="auto">
        <a:xfrm flipV="1">
          <a:off x="7680960" y="600456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106680</xdr:colOff>
      <xdr:row>33</xdr:row>
      <xdr:rowOff>0</xdr:rowOff>
    </xdr:from>
    <xdr:to>
      <xdr:col>22</xdr:col>
      <xdr:colOff>106680</xdr:colOff>
      <xdr:row>34</xdr:row>
      <xdr:rowOff>30480</xdr:rowOff>
    </xdr:to>
    <xdr:sp macro="" textlink="">
      <xdr:nvSpPr>
        <xdr:cNvPr id="72" name="Line 266">
          <a:extLst>
            <a:ext uri="{FF2B5EF4-FFF2-40B4-BE49-F238E27FC236}">
              <a16:creationId xmlns:a16="http://schemas.microsoft.com/office/drawing/2014/main" id="{C078C2A9-01FC-4624-A452-7CDFF062764B}"/>
            </a:ext>
          </a:extLst>
        </xdr:cNvPr>
        <xdr:cNvSpPr>
          <a:spLocks noChangeShapeType="1"/>
        </xdr:cNvSpPr>
      </xdr:nvSpPr>
      <xdr:spPr bwMode="auto">
        <a:xfrm flipV="1">
          <a:off x="7833360" y="600456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266700</xdr:colOff>
      <xdr:row>33</xdr:row>
      <xdr:rowOff>0</xdr:rowOff>
    </xdr:from>
    <xdr:to>
      <xdr:col>22</xdr:col>
      <xdr:colOff>266700</xdr:colOff>
      <xdr:row>34</xdr:row>
      <xdr:rowOff>30480</xdr:rowOff>
    </xdr:to>
    <xdr:sp macro="" textlink="">
      <xdr:nvSpPr>
        <xdr:cNvPr id="73" name="Line 267">
          <a:extLst>
            <a:ext uri="{FF2B5EF4-FFF2-40B4-BE49-F238E27FC236}">
              <a16:creationId xmlns:a16="http://schemas.microsoft.com/office/drawing/2014/main" id="{BB536766-A949-4D5D-B3CA-F9EBE7BA8396}"/>
            </a:ext>
          </a:extLst>
        </xdr:cNvPr>
        <xdr:cNvSpPr>
          <a:spLocks noChangeShapeType="1"/>
        </xdr:cNvSpPr>
      </xdr:nvSpPr>
      <xdr:spPr bwMode="auto">
        <a:xfrm flipV="1">
          <a:off x="7993380" y="600456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419100</xdr:colOff>
      <xdr:row>33</xdr:row>
      <xdr:rowOff>0</xdr:rowOff>
    </xdr:from>
    <xdr:to>
      <xdr:col>22</xdr:col>
      <xdr:colOff>419100</xdr:colOff>
      <xdr:row>34</xdr:row>
      <xdr:rowOff>30480</xdr:rowOff>
    </xdr:to>
    <xdr:sp macro="" textlink="">
      <xdr:nvSpPr>
        <xdr:cNvPr id="74" name="Line 268">
          <a:extLst>
            <a:ext uri="{FF2B5EF4-FFF2-40B4-BE49-F238E27FC236}">
              <a16:creationId xmlns:a16="http://schemas.microsoft.com/office/drawing/2014/main" id="{22821611-65AA-4F13-905C-C4D43119B1BC}"/>
            </a:ext>
          </a:extLst>
        </xdr:cNvPr>
        <xdr:cNvSpPr>
          <a:spLocks noChangeShapeType="1"/>
        </xdr:cNvSpPr>
      </xdr:nvSpPr>
      <xdr:spPr bwMode="auto">
        <a:xfrm flipV="1">
          <a:off x="8145780" y="600456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579120</xdr:colOff>
      <xdr:row>33</xdr:row>
      <xdr:rowOff>7620</xdr:rowOff>
    </xdr:from>
    <xdr:to>
      <xdr:col>22</xdr:col>
      <xdr:colOff>579120</xdr:colOff>
      <xdr:row>34</xdr:row>
      <xdr:rowOff>38100</xdr:rowOff>
    </xdr:to>
    <xdr:sp macro="" textlink="">
      <xdr:nvSpPr>
        <xdr:cNvPr id="75" name="Line 269">
          <a:extLst>
            <a:ext uri="{FF2B5EF4-FFF2-40B4-BE49-F238E27FC236}">
              <a16:creationId xmlns:a16="http://schemas.microsoft.com/office/drawing/2014/main" id="{E53FFB14-BFB0-4631-B21E-156E401074DB}"/>
            </a:ext>
          </a:extLst>
        </xdr:cNvPr>
        <xdr:cNvSpPr>
          <a:spLocks noChangeShapeType="1"/>
        </xdr:cNvSpPr>
      </xdr:nvSpPr>
      <xdr:spPr bwMode="auto">
        <a:xfrm flipV="1">
          <a:off x="8305800" y="601218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114300</xdr:colOff>
      <xdr:row>33</xdr:row>
      <xdr:rowOff>0</xdr:rowOff>
    </xdr:from>
    <xdr:to>
      <xdr:col>23</xdr:col>
      <xdr:colOff>114300</xdr:colOff>
      <xdr:row>34</xdr:row>
      <xdr:rowOff>30480</xdr:rowOff>
    </xdr:to>
    <xdr:sp macro="" textlink="">
      <xdr:nvSpPr>
        <xdr:cNvPr id="76" name="Line 270">
          <a:extLst>
            <a:ext uri="{FF2B5EF4-FFF2-40B4-BE49-F238E27FC236}">
              <a16:creationId xmlns:a16="http://schemas.microsoft.com/office/drawing/2014/main" id="{D7D7BB83-2FE7-4B58-8956-C0CCC025A399}"/>
            </a:ext>
          </a:extLst>
        </xdr:cNvPr>
        <xdr:cNvSpPr>
          <a:spLocks noChangeShapeType="1"/>
        </xdr:cNvSpPr>
      </xdr:nvSpPr>
      <xdr:spPr bwMode="auto">
        <a:xfrm flipV="1">
          <a:off x="8458200" y="600456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274320</xdr:colOff>
      <xdr:row>33</xdr:row>
      <xdr:rowOff>0</xdr:rowOff>
    </xdr:from>
    <xdr:to>
      <xdr:col>23</xdr:col>
      <xdr:colOff>274320</xdr:colOff>
      <xdr:row>34</xdr:row>
      <xdr:rowOff>30480</xdr:rowOff>
    </xdr:to>
    <xdr:sp macro="" textlink="">
      <xdr:nvSpPr>
        <xdr:cNvPr id="77" name="Line 271">
          <a:extLst>
            <a:ext uri="{FF2B5EF4-FFF2-40B4-BE49-F238E27FC236}">
              <a16:creationId xmlns:a16="http://schemas.microsoft.com/office/drawing/2014/main" id="{DF794080-9DDA-4B6F-89E1-DB236996406B}"/>
            </a:ext>
          </a:extLst>
        </xdr:cNvPr>
        <xdr:cNvSpPr>
          <a:spLocks noChangeShapeType="1"/>
        </xdr:cNvSpPr>
      </xdr:nvSpPr>
      <xdr:spPr bwMode="auto">
        <a:xfrm flipV="1">
          <a:off x="8618220" y="600456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426720</xdr:colOff>
      <xdr:row>33</xdr:row>
      <xdr:rowOff>7620</xdr:rowOff>
    </xdr:from>
    <xdr:to>
      <xdr:col>23</xdr:col>
      <xdr:colOff>426720</xdr:colOff>
      <xdr:row>34</xdr:row>
      <xdr:rowOff>38100</xdr:rowOff>
    </xdr:to>
    <xdr:sp macro="" textlink="">
      <xdr:nvSpPr>
        <xdr:cNvPr id="78" name="Line 272">
          <a:extLst>
            <a:ext uri="{FF2B5EF4-FFF2-40B4-BE49-F238E27FC236}">
              <a16:creationId xmlns:a16="http://schemas.microsoft.com/office/drawing/2014/main" id="{189F643A-17D5-4CB4-89F4-68F54264DE5F}"/>
            </a:ext>
          </a:extLst>
        </xdr:cNvPr>
        <xdr:cNvSpPr>
          <a:spLocks noChangeShapeType="1"/>
        </xdr:cNvSpPr>
      </xdr:nvSpPr>
      <xdr:spPr bwMode="auto">
        <a:xfrm flipV="1">
          <a:off x="8770620" y="601218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586740</xdr:colOff>
      <xdr:row>33</xdr:row>
      <xdr:rowOff>0</xdr:rowOff>
    </xdr:from>
    <xdr:to>
      <xdr:col>23</xdr:col>
      <xdr:colOff>586740</xdr:colOff>
      <xdr:row>34</xdr:row>
      <xdr:rowOff>30480</xdr:rowOff>
    </xdr:to>
    <xdr:sp macro="" textlink="">
      <xdr:nvSpPr>
        <xdr:cNvPr id="79" name="Line 273">
          <a:extLst>
            <a:ext uri="{FF2B5EF4-FFF2-40B4-BE49-F238E27FC236}">
              <a16:creationId xmlns:a16="http://schemas.microsoft.com/office/drawing/2014/main" id="{B7405372-5C25-4B4D-A855-0D0E12B69CD2}"/>
            </a:ext>
          </a:extLst>
        </xdr:cNvPr>
        <xdr:cNvSpPr>
          <a:spLocks noChangeShapeType="1"/>
        </xdr:cNvSpPr>
      </xdr:nvSpPr>
      <xdr:spPr bwMode="auto">
        <a:xfrm flipV="1">
          <a:off x="8930640" y="600456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114300</xdr:colOff>
      <xdr:row>33</xdr:row>
      <xdr:rowOff>7620</xdr:rowOff>
    </xdr:from>
    <xdr:to>
      <xdr:col>24</xdr:col>
      <xdr:colOff>114300</xdr:colOff>
      <xdr:row>34</xdr:row>
      <xdr:rowOff>38100</xdr:rowOff>
    </xdr:to>
    <xdr:sp macro="" textlink="">
      <xdr:nvSpPr>
        <xdr:cNvPr id="80" name="Line 274">
          <a:extLst>
            <a:ext uri="{FF2B5EF4-FFF2-40B4-BE49-F238E27FC236}">
              <a16:creationId xmlns:a16="http://schemas.microsoft.com/office/drawing/2014/main" id="{F5128156-5602-4F5B-9944-EBC49B2692FB}"/>
            </a:ext>
          </a:extLst>
        </xdr:cNvPr>
        <xdr:cNvSpPr>
          <a:spLocks noChangeShapeType="1"/>
        </xdr:cNvSpPr>
      </xdr:nvSpPr>
      <xdr:spPr bwMode="auto">
        <a:xfrm flipV="1">
          <a:off x="9083040" y="601218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274320</xdr:colOff>
      <xdr:row>33</xdr:row>
      <xdr:rowOff>0</xdr:rowOff>
    </xdr:from>
    <xdr:to>
      <xdr:col>24</xdr:col>
      <xdr:colOff>274320</xdr:colOff>
      <xdr:row>34</xdr:row>
      <xdr:rowOff>30480</xdr:rowOff>
    </xdr:to>
    <xdr:sp macro="" textlink="">
      <xdr:nvSpPr>
        <xdr:cNvPr id="81" name="Line 275">
          <a:extLst>
            <a:ext uri="{FF2B5EF4-FFF2-40B4-BE49-F238E27FC236}">
              <a16:creationId xmlns:a16="http://schemas.microsoft.com/office/drawing/2014/main" id="{313A446E-FBE3-4953-968B-E514B69031B3}"/>
            </a:ext>
          </a:extLst>
        </xdr:cNvPr>
        <xdr:cNvSpPr>
          <a:spLocks noChangeShapeType="1"/>
        </xdr:cNvSpPr>
      </xdr:nvSpPr>
      <xdr:spPr bwMode="auto">
        <a:xfrm flipV="1">
          <a:off x="9243060" y="6004560"/>
          <a:ext cx="0" cy="198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7620</xdr:colOff>
      <xdr:row>35</xdr:row>
      <xdr:rowOff>53340</xdr:rowOff>
    </xdr:from>
    <xdr:to>
      <xdr:col>21</xdr:col>
      <xdr:colOff>137160</xdr:colOff>
      <xdr:row>35</xdr:row>
      <xdr:rowOff>53340</xdr:rowOff>
    </xdr:to>
    <xdr:sp macro="" textlink="">
      <xdr:nvSpPr>
        <xdr:cNvPr id="82" name="Line 279">
          <a:extLst>
            <a:ext uri="{FF2B5EF4-FFF2-40B4-BE49-F238E27FC236}">
              <a16:creationId xmlns:a16="http://schemas.microsoft.com/office/drawing/2014/main" id="{86F84C7E-5489-4870-B940-4F89AC138269}"/>
            </a:ext>
          </a:extLst>
        </xdr:cNvPr>
        <xdr:cNvSpPr>
          <a:spLocks noChangeShapeType="1"/>
        </xdr:cNvSpPr>
      </xdr:nvSpPr>
      <xdr:spPr bwMode="auto">
        <a:xfrm flipH="1">
          <a:off x="7368540" y="6423660"/>
          <a:ext cx="1295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7620</xdr:colOff>
      <xdr:row>36</xdr:row>
      <xdr:rowOff>7620</xdr:rowOff>
    </xdr:from>
    <xdr:to>
      <xdr:col>21</xdr:col>
      <xdr:colOff>137160</xdr:colOff>
      <xdr:row>36</xdr:row>
      <xdr:rowOff>7620</xdr:rowOff>
    </xdr:to>
    <xdr:sp macro="" textlink="">
      <xdr:nvSpPr>
        <xdr:cNvPr id="83" name="Line 280">
          <a:extLst>
            <a:ext uri="{FF2B5EF4-FFF2-40B4-BE49-F238E27FC236}">
              <a16:creationId xmlns:a16="http://schemas.microsoft.com/office/drawing/2014/main" id="{A446C16D-0E05-465A-947A-B89DD106E5C5}"/>
            </a:ext>
          </a:extLst>
        </xdr:cNvPr>
        <xdr:cNvSpPr>
          <a:spLocks noChangeShapeType="1"/>
        </xdr:cNvSpPr>
      </xdr:nvSpPr>
      <xdr:spPr bwMode="auto">
        <a:xfrm flipH="1">
          <a:off x="7368540" y="6576060"/>
          <a:ext cx="1295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7620</xdr:colOff>
      <xdr:row>37</xdr:row>
      <xdr:rowOff>0</xdr:rowOff>
    </xdr:from>
    <xdr:to>
      <xdr:col>21</xdr:col>
      <xdr:colOff>137160</xdr:colOff>
      <xdr:row>37</xdr:row>
      <xdr:rowOff>0</xdr:rowOff>
    </xdr:to>
    <xdr:sp macro="" textlink="">
      <xdr:nvSpPr>
        <xdr:cNvPr id="84" name="Line 281">
          <a:extLst>
            <a:ext uri="{FF2B5EF4-FFF2-40B4-BE49-F238E27FC236}">
              <a16:creationId xmlns:a16="http://schemas.microsoft.com/office/drawing/2014/main" id="{0919091D-0AC0-40C7-B3A1-A5E604E471C7}"/>
            </a:ext>
          </a:extLst>
        </xdr:cNvPr>
        <xdr:cNvSpPr>
          <a:spLocks noChangeShapeType="1"/>
        </xdr:cNvSpPr>
      </xdr:nvSpPr>
      <xdr:spPr bwMode="auto">
        <a:xfrm flipH="1">
          <a:off x="7368540" y="6736080"/>
          <a:ext cx="1295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160020</xdr:rowOff>
    </xdr:from>
    <xdr:to>
      <xdr:col>21</xdr:col>
      <xdr:colOff>129540</xdr:colOff>
      <xdr:row>37</xdr:row>
      <xdr:rowOff>160020</xdr:rowOff>
    </xdr:to>
    <xdr:sp macro="" textlink="">
      <xdr:nvSpPr>
        <xdr:cNvPr id="85" name="Line 282">
          <a:extLst>
            <a:ext uri="{FF2B5EF4-FFF2-40B4-BE49-F238E27FC236}">
              <a16:creationId xmlns:a16="http://schemas.microsoft.com/office/drawing/2014/main" id="{CB5C04E3-569D-4720-A024-491D8AB62BF3}"/>
            </a:ext>
          </a:extLst>
        </xdr:cNvPr>
        <xdr:cNvSpPr>
          <a:spLocks noChangeShapeType="1"/>
        </xdr:cNvSpPr>
      </xdr:nvSpPr>
      <xdr:spPr bwMode="auto">
        <a:xfrm flipH="1">
          <a:off x="7360920" y="6896100"/>
          <a:ext cx="1295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0</xdr:colOff>
      <xdr:row>38</xdr:row>
      <xdr:rowOff>144780</xdr:rowOff>
    </xdr:from>
    <xdr:to>
      <xdr:col>21</xdr:col>
      <xdr:colOff>129540</xdr:colOff>
      <xdr:row>38</xdr:row>
      <xdr:rowOff>144780</xdr:rowOff>
    </xdr:to>
    <xdr:sp macro="" textlink="">
      <xdr:nvSpPr>
        <xdr:cNvPr id="86" name="Line 283">
          <a:extLst>
            <a:ext uri="{FF2B5EF4-FFF2-40B4-BE49-F238E27FC236}">
              <a16:creationId xmlns:a16="http://schemas.microsoft.com/office/drawing/2014/main" id="{C18C584D-83B2-4C30-881E-BA2A1FE9DD6F}"/>
            </a:ext>
          </a:extLst>
        </xdr:cNvPr>
        <xdr:cNvSpPr>
          <a:spLocks noChangeShapeType="1"/>
        </xdr:cNvSpPr>
      </xdr:nvSpPr>
      <xdr:spPr bwMode="auto">
        <a:xfrm flipH="1">
          <a:off x="7360920" y="7048500"/>
          <a:ext cx="1295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0</xdr:colOff>
      <xdr:row>39</xdr:row>
      <xdr:rowOff>137160</xdr:rowOff>
    </xdr:from>
    <xdr:to>
      <xdr:col>21</xdr:col>
      <xdr:colOff>129540</xdr:colOff>
      <xdr:row>39</xdr:row>
      <xdr:rowOff>137160</xdr:rowOff>
    </xdr:to>
    <xdr:sp macro="" textlink="">
      <xdr:nvSpPr>
        <xdr:cNvPr id="87" name="Line 284">
          <a:extLst>
            <a:ext uri="{FF2B5EF4-FFF2-40B4-BE49-F238E27FC236}">
              <a16:creationId xmlns:a16="http://schemas.microsoft.com/office/drawing/2014/main" id="{2619C06C-716D-407D-94C8-E5A75F095860}"/>
            </a:ext>
          </a:extLst>
        </xdr:cNvPr>
        <xdr:cNvSpPr>
          <a:spLocks noChangeShapeType="1"/>
        </xdr:cNvSpPr>
      </xdr:nvSpPr>
      <xdr:spPr bwMode="auto">
        <a:xfrm flipH="1">
          <a:off x="7360920" y="7208520"/>
          <a:ext cx="1295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480060</xdr:colOff>
      <xdr:row>35</xdr:row>
      <xdr:rowOff>45720</xdr:rowOff>
    </xdr:from>
    <xdr:to>
      <xdr:col>24</xdr:col>
      <xdr:colOff>617220</xdr:colOff>
      <xdr:row>35</xdr:row>
      <xdr:rowOff>45720</xdr:rowOff>
    </xdr:to>
    <xdr:sp macro="" textlink="">
      <xdr:nvSpPr>
        <xdr:cNvPr id="88" name="Line 288">
          <a:extLst>
            <a:ext uri="{FF2B5EF4-FFF2-40B4-BE49-F238E27FC236}">
              <a16:creationId xmlns:a16="http://schemas.microsoft.com/office/drawing/2014/main" id="{2D1F6FC4-49E3-4E37-BC16-97CAE1448196}"/>
            </a:ext>
          </a:extLst>
        </xdr:cNvPr>
        <xdr:cNvSpPr>
          <a:spLocks noChangeShapeType="1"/>
        </xdr:cNvSpPr>
      </xdr:nvSpPr>
      <xdr:spPr bwMode="auto">
        <a:xfrm>
          <a:off x="9448800" y="6416040"/>
          <a:ext cx="1371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487680</xdr:colOff>
      <xdr:row>36</xdr:row>
      <xdr:rowOff>0</xdr:rowOff>
    </xdr:from>
    <xdr:to>
      <xdr:col>25</xdr:col>
      <xdr:colOff>0</xdr:colOff>
      <xdr:row>36</xdr:row>
      <xdr:rowOff>0</xdr:rowOff>
    </xdr:to>
    <xdr:sp macro="" textlink="">
      <xdr:nvSpPr>
        <xdr:cNvPr id="89" name="Line 289">
          <a:extLst>
            <a:ext uri="{FF2B5EF4-FFF2-40B4-BE49-F238E27FC236}">
              <a16:creationId xmlns:a16="http://schemas.microsoft.com/office/drawing/2014/main" id="{EFB070D9-7628-46BE-98AF-466FF4CA5BC5}"/>
            </a:ext>
          </a:extLst>
        </xdr:cNvPr>
        <xdr:cNvSpPr>
          <a:spLocks noChangeShapeType="1"/>
        </xdr:cNvSpPr>
      </xdr:nvSpPr>
      <xdr:spPr bwMode="auto">
        <a:xfrm>
          <a:off x="9456420" y="6568440"/>
          <a:ext cx="1371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487680</xdr:colOff>
      <xdr:row>36</xdr:row>
      <xdr:rowOff>160020</xdr:rowOff>
    </xdr:from>
    <xdr:to>
      <xdr:col>25</xdr:col>
      <xdr:colOff>0</xdr:colOff>
      <xdr:row>36</xdr:row>
      <xdr:rowOff>160020</xdr:rowOff>
    </xdr:to>
    <xdr:sp macro="" textlink="">
      <xdr:nvSpPr>
        <xdr:cNvPr id="90" name="Line 290">
          <a:extLst>
            <a:ext uri="{FF2B5EF4-FFF2-40B4-BE49-F238E27FC236}">
              <a16:creationId xmlns:a16="http://schemas.microsoft.com/office/drawing/2014/main" id="{F40AE146-5F7E-4EFB-A10F-166EA5715F86}"/>
            </a:ext>
          </a:extLst>
        </xdr:cNvPr>
        <xdr:cNvSpPr>
          <a:spLocks noChangeShapeType="1"/>
        </xdr:cNvSpPr>
      </xdr:nvSpPr>
      <xdr:spPr bwMode="auto">
        <a:xfrm>
          <a:off x="9456420" y="6728460"/>
          <a:ext cx="1371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487680</xdr:colOff>
      <xdr:row>37</xdr:row>
      <xdr:rowOff>144780</xdr:rowOff>
    </xdr:from>
    <xdr:to>
      <xdr:col>25</xdr:col>
      <xdr:colOff>0</xdr:colOff>
      <xdr:row>37</xdr:row>
      <xdr:rowOff>144780</xdr:rowOff>
    </xdr:to>
    <xdr:sp macro="" textlink="">
      <xdr:nvSpPr>
        <xdr:cNvPr id="91" name="Line 291">
          <a:extLst>
            <a:ext uri="{FF2B5EF4-FFF2-40B4-BE49-F238E27FC236}">
              <a16:creationId xmlns:a16="http://schemas.microsoft.com/office/drawing/2014/main" id="{3818B37F-7EC7-48B9-B8AC-0BC65293FDE1}"/>
            </a:ext>
          </a:extLst>
        </xdr:cNvPr>
        <xdr:cNvSpPr>
          <a:spLocks noChangeShapeType="1"/>
        </xdr:cNvSpPr>
      </xdr:nvSpPr>
      <xdr:spPr bwMode="auto">
        <a:xfrm>
          <a:off x="9456420" y="6880860"/>
          <a:ext cx="1371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487680</xdr:colOff>
      <xdr:row>38</xdr:row>
      <xdr:rowOff>137160</xdr:rowOff>
    </xdr:from>
    <xdr:to>
      <xdr:col>25</xdr:col>
      <xdr:colOff>0</xdr:colOff>
      <xdr:row>38</xdr:row>
      <xdr:rowOff>137160</xdr:rowOff>
    </xdr:to>
    <xdr:sp macro="" textlink="">
      <xdr:nvSpPr>
        <xdr:cNvPr id="92" name="Line 292">
          <a:extLst>
            <a:ext uri="{FF2B5EF4-FFF2-40B4-BE49-F238E27FC236}">
              <a16:creationId xmlns:a16="http://schemas.microsoft.com/office/drawing/2014/main" id="{B1C83A89-D0B9-4C81-92B7-AE9A61319D74}"/>
            </a:ext>
          </a:extLst>
        </xdr:cNvPr>
        <xdr:cNvSpPr>
          <a:spLocks noChangeShapeType="1"/>
        </xdr:cNvSpPr>
      </xdr:nvSpPr>
      <xdr:spPr bwMode="auto">
        <a:xfrm>
          <a:off x="9456420" y="7040880"/>
          <a:ext cx="1371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495300</xdr:colOff>
      <xdr:row>39</xdr:row>
      <xdr:rowOff>129540</xdr:rowOff>
    </xdr:from>
    <xdr:to>
      <xdr:col>25</xdr:col>
      <xdr:colOff>7620</xdr:colOff>
      <xdr:row>39</xdr:row>
      <xdr:rowOff>129540</xdr:rowOff>
    </xdr:to>
    <xdr:sp macro="" textlink="">
      <xdr:nvSpPr>
        <xdr:cNvPr id="93" name="Line 293">
          <a:extLst>
            <a:ext uri="{FF2B5EF4-FFF2-40B4-BE49-F238E27FC236}">
              <a16:creationId xmlns:a16="http://schemas.microsoft.com/office/drawing/2014/main" id="{37F085A4-B3CB-4AFB-9D1B-C490037B91C8}"/>
            </a:ext>
          </a:extLst>
        </xdr:cNvPr>
        <xdr:cNvSpPr>
          <a:spLocks noChangeShapeType="1"/>
        </xdr:cNvSpPr>
      </xdr:nvSpPr>
      <xdr:spPr bwMode="auto">
        <a:xfrm>
          <a:off x="9464040" y="7200900"/>
          <a:ext cx="1371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21</xdr:col>
      <xdr:colOff>320040</xdr:colOff>
      <xdr:row>41</xdr:row>
      <xdr:rowOff>0</xdr:rowOff>
    </xdr:from>
    <xdr:to>
      <xdr:col>21</xdr:col>
      <xdr:colOff>320040</xdr:colOff>
      <xdr:row>42</xdr:row>
      <xdr:rowOff>0</xdr:rowOff>
    </xdr:to>
    <xdr:sp macro="" textlink="">
      <xdr:nvSpPr>
        <xdr:cNvPr id="94" name="Line 296">
          <a:extLst>
            <a:ext uri="{FF2B5EF4-FFF2-40B4-BE49-F238E27FC236}">
              <a16:creationId xmlns:a16="http://schemas.microsoft.com/office/drawing/2014/main" id="{E45FCC2F-3DE2-4092-A632-798CCEB28567}"/>
            </a:ext>
          </a:extLst>
        </xdr:cNvPr>
        <xdr:cNvSpPr>
          <a:spLocks noChangeShapeType="1"/>
        </xdr:cNvSpPr>
      </xdr:nvSpPr>
      <xdr:spPr bwMode="auto">
        <a:xfrm>
          <a:off x="768096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106680</xdr:colOff>
      <xdr:row>41</xdr:row>
      <xdr:rowOff>7620</xdr:rowOff>
    </xdr:from>
    <xdr:to>
      <xdr:col>22</xdr:col>
      <xdr:colOff>106680</xdr:colOff>
      <xdr:row>42</xdr:row>
      <xdr:rowOff>7620</xdr:rowOff>
    </xdr:to>
    <xdr:sp macro="" textlink="">
      <xdr:nvSpPr>
        <xdr:cNvPr id="95" name="Line 297">
          <a:extLst>
            <a:ext uri="{FF2B5EF4-FFF2-40B4-BE49-F238E27FC236}">
              <a16:creationId xmlns:a16="http://schemas.microsoft.com/office/drawing/2014/main" id="{3EA73E2B-8933-4698-8D20-2E46E6EDA68F}"/>
            </a:ext>
          </a:extLst>
        </xdr:cNvPr>
        <xdr:cNvSpPr>
          <a:spLocks noChangeShapeType="1"/>
        </xdr:cNvSpPr>
      </xdr:nvSpPr>
      <xdr:spPr bwMode="auto">
        <a:xfrm>
          <a:off x="7833360" y="741426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266700</xdr:colOff>
      <xdr:row>41</xdr:row>
      <xdr:rowOff>0</xdr:rowOff>
    </xdr:from>
    <xdr:to>
      <xdr:col>22</xdr:col>
      <xdr:colOff>266700</xdr:colOff>
      <xdr:row>42</xdr:row>
      <xdr:rowOff>0</xdr:rowOff>
    </xdr:to>
    <xdr:sp macro="" textlink="">
      <xdr:nvSpPr>
        <xdr:cNvPr id="96" name="Line 298">
          <a:extLst>
            <a:ext uri="{FF2B5EF4-FFF2-40B4-BE49-F238E27FC236}">
              <a16:creationId xmlns:a16="http://schemas.microsoft.com/office/drawing/2014/main" id="{490B0223-2ECA-4A41-8AB0-AC25A8F099F7}"/>
            </a:ext>
          </a:extLst>
        </xdr:cNvPr>
        <xdr:cNvSpPr>
          <a:spLocks noChangeShapeType="1"/>
        </xdr:cNvSpPr>
      </xdr:nvSpPr>
      <xdr:spPr bwMode="auto">
        <a:xfrm>
          <a:off x="799338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419100</xdr:colOff>
      <xdr:row>41</xdr:row>
      <xdr:rowOff>0</xdr:rowOff>
    </xdr:from>
    <xdr:to>
      <xdr:col>22</xdr:col>
      <xdr:colOff>419100</xdr:colOff>
      <xdr:row>42</xdr:row>
      <xdr:rowOff>0</xdr:rowOff>
    </xdr:to>
    <xdr:sp macro="" textlink="">
      <xdr:nvSpPr>
        <xdr:cNvPr id="97" name="Line 299">
          <a:extLst>
            <a:ext uri="{FF2B5EF4-FFF2-40B4-BE49-F238E27FC236}">
              <a16:creationId xmlns:a16="http://schemas.microsoft.com/office/drawing/2014/main" id="{645E9FAB-7FEB-4B15-9DF0-0A4C69505526}"/>
            </a:ext>
          </a:extLst>
        </xdr:cNvPr>
        <xdr:cNvSpPr>
          <a:spLocks noChangeShapeType="1"/>
        </xdr:cNvSpPr>
      </xdr:nvSpPr>
      <xdr:spPr bwMode="auto">
        <a:xfrm>
          <a:off x="814578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xdr:col>
      <xdr:colOff>579120</xdr:colOff>
      <xdr:row>41</xdr:row>
      <xdr:rowOff>0</xdr:rowOff>
    </xdr:from>
    <xdr:to>
      <xdr:col>22</xdr:col>
      <xdr:colOff>579120</xdr:colOff>
      <xdr:row>42</xdr:row>
      <xdr:rowOff>0</xdr:rowOff>
    </xdr:to>
    <xdr:sp macro="" textlink="">
      <xdr:nvSpPr>
        <xdr:cNvPr id="98" name="Line 300">
          <a:extLst>
            <a:ext uri="{FF2B5EF4-FFF2-40B4-BE49-F238E27FC236}">
              <a16:creationId xmlns:a16="http://schemas.microsoft.com/office/drawing/2014/main" id="{8BEF9B30-C529-48C6-B87A-140D609162BB}"/>
            </a:ext>
          </a:extLst>
        </xdr:cNvPr>
        <xdr:cNvSpPr>
          <a:spLocks noChangeShapeType="1"/>
        </xdr:cNvSpPr>
      </xdr:nvSpPr>
      <xdr:spPr bwMode="auto">
        <a:xfrm>
          <a:off x="830580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114300</xdr:colOff>
      <xdr:row>41</xdr:row>
      <xdr:rowOff>0</xdr:rowOff>
    </xdr:from>
    <xdr:to>
      <xdr:col>23</xdr:col>
      <xdr:colOff>114300</xdr:colOff>
      <xdr:row>42</xdr:row>
      <xdr:rowOff>0</xdr:rowOff>
    </xdr:to>
    <xdr:sp macro="" textlink="">
      <xdr:nvSpPr>
        <xdr:cNvPr id="99" name="Line 301">
          <a:extLst>
            <a:ext uri="{FF2B5EF4-FFF2-40B4-BE49-F238E27FC236}">
              <a16:creationId xmlns:a16="http://schemas.microsoft.com/office/drawing/2014/main" id="{8166B60F-A68E-4021-B120-A298C021A216}"/>
            </a:ext>
          </a:extLst>
        </xdr:cNvPr>
        <xdr:cNvSpPr>
          <a:spLocks noChangeShapeType="1"/>
        </xdr:cNvSpPr>
      </xdr:nvSpPr>
      <xdr:spPr bwMode="auto">
        <a:xfrm>
          <a:off x="845820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274320</xdr:colOff>
      <xdr:row>41</xdr:row>
      <xdr:rowOff>0</xdr:rowOff>
    </xdr:from>
    <xdr:to>
      <xdr:col>23</xdr:col>
      <xdr:colOff>274320</xdr:colOff>
      <xdr:row>42</xdr:row>
      <xdr:rowOff>0</xdr:rowOff>
    </xdr:to>
    <xdr:sp macro="" textlink="">
      <xdr:nvSpPr>
        <xdr:cNvPr id="100" name="Line 302">
          <a:extLst>
            <a:ext uri="{FF2B5EF4-FFF2-40B4-BE49-F238E27FC236}">
              <a16:creationId xmlns:a16="http://schemas.microsoft.com/office/drawing/2014/main" id="{76F9666F-0263-403C-BC63-0BFAA2A8E216}"/>
            </a:ext>
          </a:extLst>
        </xdr:cNvPr>
        <xdr:cNvSpPr>
          <a:spLocks noChangeShapeType="1"/>
        </xdr:cNvSpPr>
      </xdr:nvSpPr>
      <xdr:spPr bwMode="auto">
        <a:xfrm>
          <a:off x="861822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426720</xdr:colOff>
      <xdr:row>41</xdr:row>
      <xdr:rowOff>0</xdr:rowOff>
    </xdr:from>
    <xdr:to>
      <xdr:col>23</xdr:col>
      <xdr:colOff>426720</xdr:colOff>
      <xdr:row>42</xdr:row>
      <xdr:rowOff>0</xdr:rowOff>
    </xdr:to>
    <xdr:sp macro="" textlink="">
      <xdr:nvSpPr>
        <xdr:cNvPr id="101" name="Line 303">
          <a:extLst>
            <a:ext uri="{FF2B5EF4-FFF2-40B4-BE49-F238E27FC236}">
              <a16:creationId xmlns:a16="http://schemas.microsoft.com/office/drawing/2014/main" id="{794CF2F6-0F33-4734-BFEF-A55DC8850BFD}"/>
            </a:ext>
          </a:extLst>
        </xdr:cNvPr>
        <xdr:cNvSpPr>
          <a:spLocks noChangeShapeType="1"/>
        </xdr:cNvSpPr>
      </xdr:nvSpPr>
      <xdr:spPr bwMode="auto">
        <a:xfrm>
          <a:off x="877062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586740</xdr:colOff>
      <xdr:row>41</xdr:row>
      <xdr:rowOff>0</xdr:rowOff>
    </xdr:from>
    <xdr:to>
      <xdr:col>23</xdr:col>
      <xdr:colOff>586740</xdr:colOff>
      <xdr:row>42</xdr:row>
      <xdr:rowOff>0</xdr:rowOff>
    </xdr:to>
    <xdr:sp macro="" textlink="">
      <xdr:nvSpPr>
        <xdr:cNvPr id="102" name="Line 304">
          <a:extLst>
            <a:ext uri="{FF2B5EF4-FFF2-40B4-BE49-F238E27FC236}">
              <a16:creationId xmlns:a16="http://schemas.microsoft.com/office/drawing/2014/main" id="{C877EF0B-0D11-4E91-B9E7-3261F655ABA3}"/>
            </a:ext>
          </a:extLst>
        </xdr:cNvPr>
        <xdr:cNvSpPr>
          <a:spLocks noChangeShapeType="1"/>
        </xdr:cNvSpPr>
      </xdr:nvSpPr>
      <xdr:spPr bwMode="auto">
        <a:xfrm>
          <a:off x="893064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114300</xdr:colOff>
      <xdr:row>41</xdr:row>
      <xdr:rowOff>0</xdr:rowOff>
    </xdr:from>
    <xdr:to>
      <xdr:col>24</xdr:col>
      <xdr:colOff>114300</xdr:colOff>
      <xdr:row>42</xdr:row>
      <xdr:rowOff>0</xdr:rowOff>
    </xdr:to>
    <xdr:sp macro="" textlink="">
      <xdr:nvSpPr>
        <xdr:cNvPr id="103" name="Line 305">
          <a:extLst>
            <a:ext uri="{FF2B5EF4-FFF2-40B4-BE49-F238E27FC236}">
              <a16:creationId xmlns:a16="http://schemas.microsoft.com/office/drawing/2014/main" id="{BE5B1359-B85C-45EF-BC81-3013CD5E5F50}"/>
            </a:ext>
          </a:extLst>
        </xdr:cNvPr>
        <xdr:cNvSpPr>
          <a:spLocks noChangeShapeType="1"/>
        </xdr:cNvSpPr>
      </xdr:nvSpPr>
      <xdr:spPr bwMode="auto">
        <a:xfrm>
          <a:off x="908304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24</xdr:col>
      <xdr:colOff>274320</xdr:colOff>
      <xdr:row>41</xdr:row>
      <xdr:rowOff>0</xdr:rowOff>
    </xdr:from>
    <xdr:to>
      <xdr:col>24</xdr:col>
      <xdr:colOff>274320</xdr:colOff>
      <xdr:row>42</xdr:row>
      <xdr:rowOff>0</xdr:rowOff>
    </xdr:to>
    <xdr:sp macro="" textlink="">
      <xdr:nvSpPr>
        <xdr:cNvPr id="104" name="Line 306">
          <a:extLst>
            <a:ext uri="{FF2B5EF4-FFF2-40B4-BE49-F238E27FC236}">
              <a16:creationId xmlns:a16="http://schemas.microsoft.com/office/drawing/2014/main" id="{4C27AFA2-8394-4BE1-AE9D-0939015515A1}"/>
            </a:ext>
          </a:extLst>
        </xdr:cNvPr>
        <xdr:cNvSpPr>
          <a:spLocks noChangeShapeType="1"/>
        </xdr:cNvSpPr>
      </xdr:nvSpPr>
      <xdr:spPr bwMode="auto">
        <a:xfrm>
          <a:off x="9243060" y="740664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266700</xdr:colOff>
      <xdr:row>40</xdr:row>
      <xdr:rowOff>45720</xdr:rowOff>
    </xdr:from>
    <xdr:to>
      <xdr:col>21</xdr:col>
      <xdr:colOff>129540</xdr:colOff>
      <xdr:row>42</xdr:row>
      <xdr:rowOff>7620</xdr:rowOff>
    </xdr:to>
    <xdr:sp macro="" textlink="">
      <xdr:nvSpPr>
        <xdr:cNvPr id="105" name="Arc 308">
          <a:extLst>
            <a:ext uri="{FF2B5EF4-FFF2-40B4-BE49-F238E27FC236}">
              <a16:creationId xmlns:a16="http://schemas.microsoft.com/office/drawing/2014/main" id="{80CA8689-49B4-4AA3-B1F5-E7DF910E560F}"/>
            </a:ext>
          </a:extLst>
        </xdr:cNvPr>
        <xdr:cNvSpPr>
          <a:spLocks/>
        </xdr:cNvSpPr>
      </xdr:nvSpPr>
      <xdr:spPr bwMode="auto">
        <a:xfrm rot="-46365908">
          <a:off x="7223760" y="7315200"/>
          <a:ext cx="297180" cy="23622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327660</xdr:colOff>
      <xdr:row>32</xdr:row>
      <xdr:rowOff>91440</xdr:rowOff>
    </xdr:from>
    <xdr:to>
      <xdr:col>21</xdr:col>
      <xdr:colOff>243840</xdr:colOff>
      <xdr:row>33</xdr:row>
      <xdr:rowOff>160020</xdr:rowOff>
    </xdr:to>
    <xdr:sp macro="" textlink="">
      <xdr:nvSpPr>
        <xdr:cNvPr id="106" name="Arc 309">
          <a:extLst>
            <a:ext uri="{FF2B5EF4-FFF2-40B4-BE49-F238E27FC236}">
              <a16:creationId xmlns:a16="http://schemas.microsoft.com/office/drawing/2014/main" id="{D784B0A6-A91F-42A6-9028-AED83988F06A}"/>
            </a:ext>
          </a:extLst>
        </xdr:cNvPr>
        <xdr:cNvSpPr>
          <a:spLocks/>
        </xdr:cNvSpPr>
      </xdr:nvSpPr>
      <xdr:spPr bwMode="auto">
        <a:xfrm rot="-41840555">
          <a:off x="7315200" y="5928360"/>
          <a:ext cx="289560" cy="23622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411480</xdr:colOff>
      <xdr:row>32</xdr:row>
      <xdr:rowOff>30480</xdr:rowOff>
    </xdr:from>
    <xdr:to>
      <xdr:col>25</xdr:col>
      <xdr:colOff>22860</xdr:colOff>
      <xdr:row>33</xdr:row>
      <xdr:rowOff>160020</xdr:rowOff>
    </xdr:to>
    <xdr:sp macro="" textlink="">
      <xdr:nvSpPr>
        <xdr:cNvPr id="107" name="Arc 310">
          <a:extLst>
            <a:ext uri="{FF2B5EF4-FFF2-40B4-BE49-F238E27FC236}">
              <a16:creationId xmlns:a16="http://schemas.microsoft.com/office/drawing/2014/main" id="{1E2050B0-B4BE-4E2E-BD40-8871914590AF}"/>
            </a:ext>
          </a:extLst>
        </xdr:cNvPr>
        <xdr:cNvSpPr>
          <a:spLocks/>
        </xdr:cNvSpPr>
      </xdr:nvSpPr>
      <xdr:spPr bwMode="auto">
        <a:xfrm rot="-5114182">
          <a:off x="9349740" y="5897880"/>
          <a:ext cx="297180" cy="23622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381000</xdr:colOff>
      <xdr:row>41</xdr:row>
      <xdr:rowOff>30480</xdr:rowOff>
    </xdr:from>
    <xdr:to>
      <xdr:col>24</xdr:col>
      <xdr:colOff>617220</xdr:colOff>
      <xdr:row>42</xdr:row>
      <xdr:rowOff>160020</xdr:rowOff>
    </xdr:to>
    <xdr:sp macro="" textlink="">
      <xdr:nvSpPr>
        <xdr:cNvPr id="108" name="Arc 311">
          <a:extLst>
            <a:ext uri="{FF2B5EF4-FFF2-40B4-BE49-F238E27FC236}">
              <a16:creationId xmlns:a16="http://schemas.microsoft.com/office/drawing/2014/main" id="{B77805DB-BD7A-4F85-AC8E-D0333D59E20D}"/>
            </a:ext>
          </a:extLst>
        </xdr:cNvPr>
        <xdr:cNvSpPr>
          <a:spLocks/>
        </xdr:cNvSpPr>
      </xdr:nvSpPr>
      <xdr:spPr bwMode="auto">
        <a:xfrm rot="-8038065">
          <a:off x="9319260" y="7467600"/>
          <a:ext cx="297180" cy="23622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365760</xdr:colOff>
      <xdr:row>41</xdr:row>
      <xdr:rowOff>60960</xdr:rowOff>
    </xdr:from>
    <xdr:to>
      <xdr:col>21</xdr:col>
      <xdr:colOff>266700</xdr:colOff>
      <xdr:row>43</xdr:row>
      <xdr:rowOff>22860</xdr:rowOff>
    </xdr:to>
    <xdr:sp macro="" textlink="">
      <xdr:nvSpPr>
        <xdr:cNvPr id="109" name="Arc 312">
          <a:extLst>
            <a:ext uri="{FF2B5EF4-FFF2-40B4-BE49-F238E27FC236}">
              <a16:creationId xmlns:a16="http://schemas.microsoft.com/office/drawing/2014/main" id="{15858C7C-173E-40C3-B159-42095C1D5F55}"/>
            </a:ext>
          </a:extLst>
        </xdr:cNvPr>
        <xdr:cNvSpPr>
          <a:spLocks/>
        </xdr:cNvSpPr>
      </xdr:nvSpPr>
      <xdr:spPr bwMode="auto">
        <a:xfrm rot="4373837">
          <a:off x="7341870" y="7479030"/>
          <a:ext cx="297180" cy="27432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495300</xdr:colOff>
      <xdr:row>40</xdr:row>
      <xdr:rowOff>99060</xdr:rowOff>
    </xdr:from>
    <xdr:to>
      <xdr:col>25</xdr:col>
      <xdr:colOff>106680</xdr:colOff>
      <xdr:row>42</xdr:row>
      <xdr:rowOff>38100</xdr:rowOff>
    </xdr:to>
    <xdr:sp macro="" textlink="">
      <xdr:nvSpPr>
        <xdr:cNvPr id="110" name="Arc 313">
          <a:extLst>
            <a:ext uri="{FF2B5EF4-FFF2-40B4-BE49-F238E27FC236}">
              <a16:creationId xmlns:a16="http://schemas.microsoft.com/office/drawing/2014/main" id="{E57E64F7-229C-4010-A066-C392B87255FA}"/>
            </a:ext>
          </a:extLst>
        </xdr:cNvPr>
        <xdr:cNvSpPr>
          <a:spLocks/>
        </xdr:cNvSpPr>
      </xdr:nvSpPr>
      <xdr:spPr bwMode="auto">
        <a:xfrm rot="-489598">
          <a:off x="9464040" y="7338060"/>
          <a:ext cx="236220" cy="27432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213360</xdr:colOff>
      <xdr:row>33</xdr:row>
      <xdr:rowOff>76200</xdr:rowOff>
    </xdr:from>
    <xdr:to>
      <xdr:col>21</xdr:col>
      <xdr:colOff>137160</xdr:colOff>
      <xdr:row>34</xdr:row>
      <xdr:rowOff>106680</xdr:rowOff>
    </xdr:to>
    <xdr:sp macro="" textlink="">
      <xdr:nvSpPr>
        <xdr:cNvPr id="111" name="Arc 315">
          <a:extLst>
            <a:ext uri="{FF2B5EF4-FFF2-40B4-BE49-F238E27FC236}">
              <a16:creationId xmlns:a16="http://schemas.microsoft.com/office/drawing/2014/main" id="{95FAC0BD-9DC3-4AA2-B2AA-7F62E4E67ED6}"/>
            </a:ext>
          </a:extLst>
        </xdr:cNvPr>
        <xdr:cNvSpPr>
          <a:spLocks/>
        </xdr:cNvSpPr>
      </xdr:nvSpPr>
      <xdr:spPr bwMode="auto">
        <a:xfrm rot="10100257">
          <a:off x="7200900" y="6080760"/>
          <a:ext cx="297180" cy="19812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24</xdr:col>
      <xdr:colOff>457200</xdr:colOff>
      <xdr:row>33</xdr:row>
      <xdr:rowOff>22860</xdr:rowOff>
    </xdr:from>
    <xdr:to>
      <xdr:col>25</xdr:col>
      <xdr:colOff>106680</xdr:colOff>
      <xdr:row>34</xdr:row>
      <xdr:rowOff>91440</xdr:rowOff>
    </xdr:to>
    <xdr:sp macro="" textlink="">
      <xdr:nvSpPr>
        <xdr:cNvPr id="112" name="Arc 316">
          <a:extLst>
            <a:ext uri="{FF2B5EF4-FFF2-40B4-BE49-F238E27FC236}">
              <a16:creationId xmlns:a16="http://schemas.microsoft.com/office/drawing/2014/main" id="{DB0F6B00-416B-4DAD-954D-5DA4D649A1AE}"/>
            </a:ext>
          </a:extLst>
        </xdr:cNvPr>
        <xdr:cNvSpPr>
          <a:spLocks/>
        </xdr:cNvSpPr>
      </xdr:nvSpPr>
      <xdr:spPr bwMode="auto">
        <a:xfrm rot="6368300">
          <a:off x="9444990" y="6008370"/>
          <a:ext cx="236220" cy="274320"/>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274320</xdr:colOff>
      <xdr:row>39</xdr:row>
      <xdr:rowOff>160020</xdr:rowOff>
    </xdr:from>
    <xdr:to>
      <xdr:col>5</xdr:col>
      <xdr:colOff>38100</xdr:colOff>
      <xdr:row>39</xdr:row>
      <xdr:rowOff>160020</xdr:rowOff>
    </xdr:to>
    <xdr:sp macro="" textlink="">
      <xdr:nvSpPr>
        <xdr:cNvPr id="113" name="Line 317">
          <a:extLst>
            <a:ext uri="{FF2B5EF4-FFF2-40B4-BE49-F238E27FC236}">
              <a16:creationId xmlns:a16="http://schemas.microsoft.com/office/drawing/2014/main" id="{C6B65F1E-6C6A-4C6A-802D-5DA2F665B7A6}"/>
            </a:ext>
          </a:extLst>
        </xdr:cNvPr>
        <xdr:cNvSpPr>
          <a:spLocks noChangeShapeType="1"/>
        </xdr:cNvSpPr>
      </xdr:nvSpPr>
      <xdr:spPr bwMode="auto">
        <a:xfrm>
          <a:off x="2232660" y="7231380"/>
          <a:ext cx="2057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281940</xdr:colOff>
      <xdr:row>41</xdr:row>
      <xdr:rowOff>144780</xdr:rowOff>
    </xdr:from>
    <xdr:to>
      <xdr:col>5</xdr:col>
      <xdr:colOff>45720</xdr:colOff>
      <xdr:row>41</xdr:row>
      <xdr:rowOff>144780</xdr:rowOff>
    </xdr:to>
    <xdr:sp macro="" textlink="">
      <xdr:nvSpPr>
        <xdr:cNvPr id="114" name="Line 318">
          <a:extLst>
            <a:ext uri="{FF2B5EF4-FFF2-40B4-BE49-F238E27FC236}">
              <a16:creationId xmlns:a16="http://schemas.microsoft.com/office/drawing/2014/main" id="{C8CECD5D-A06C-4798-8A03-FF2EB63C87DF}"/>
            </a:ext>
          </a:extLst>
        </xdr:cNvPr>
        <xdr:cNvSpPr>
          <a:spLocks noChangeShapeType="1"/>
        </xdr:cNvSpPr>
      </xdr:nvSpPr>
      <xdr:spPr bwMode="auto">
        <a:xfrm>
          <a:off x="2240280" y="7551420"/>
          <a:ext cx="2057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129540</xdr:colOff>
      <xdr:row>40</xdr:row>
      <xdr:rowOff>0</xdr:rowOff>
    </xdr:from>
    <xdr:to>
      <xdr:col>6</xdr:col>
      <xdr:colOff>335280</xdr:colOff>
      <xdr:row>40</xdr:row>
      <xdr:rowOff>0</xdr:rowOff>
    </xdr:to>
    <xdr:sp macro="" textlink="">
      <xdr:nvSpPr>
        <xdr:cNvPr id="115" name="Line 319">
          <a:extLst>
            <a:ext uri="{FF2B5EF4-FFF2-40B4-BE49-F238E27FC236}">
              <a16:creationId xmlns:a16="http://schemas.microsoft.com/office/drawing/2014/main" id="{256EB538-F3B5-4AC8-A916-C55FDFA0CE4A}"/>
            </a:ext>
          </a:extLst>
        </xdr:cNvPr>
        <xdr:cNvSpPr>
          <a:spLocks noChangeShapeType="1"/>
        </xdr:cNvSpPr>
      </xdr:nvSpPr>
      <xdr:spPr bwMode="auto">
        <a:xfrm>
          <a:off x="2849880" y="7239000"/>
          <a:ext cx="2057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91440</xdr:colOff>
      <xdr:row>42</xdr:row>
      <xdr:rowOff>0</xdr:rowOff>
    </xdr:from>
    <xdr:to>
      <xdr:col>6</xdr:col>
      <xdr:colOff>297180</xdr:colOff>
      <xdr:row>42</xdr:row>
      <xdr:rowOff>0</xdr:rowOff>
    </xdr:to>
    <xdr:sp macro="" textlink="">
      <xdr:nvSpPr>
        <xdr:cNvPr id="116" name="Line 320">
          <a:extLst>
            <a:ext uri="{FF2B5EF4-FFF2-40B4-BE49-F238E27FC236}">
              <a16:creationId xmlns:a16="http://schemas.microsoft.com/office/drawing/2014/main" id="{D9D5CC92-73C2-4A13-B109-A8E97031ED88}"/>
            </a:ext>
          </a:extLst>
        </xdr:cNvPr>
        <xdr:cNvSpPr>
          <a:spLocks noChangeShapeType="1"/>
        </xdr:cNvSpPr>
      </xdr:nvSpPr>
      <xdr:spPr bwMode="auto">
        <a:xfrm>
          <a:off x="2811780" y="7574280"/>
          <a:ext cx="2057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68580</xdr:colOff>
      <xdr:row>40</xdr:row>
      <xdr:rowOff>7620</xdr:rowOff>
    </xdr:from>
    <xdr:to>
      <xdr:col>14</xdr:col>
      <xdr:colOff>274320</xdr:colOff>
      <xdr:row>40</xdr:row>
      <xdr:rowOff>7620</xdr:rowOff>
    </xdr:to>
    <xdr:sp macro="" textlink="">
      <xdr:nvSpPr>
        <xdr:cNvPr id="117" name="Line 323">
          <a:extLst>
            <a:ext uri="{FF2B5EF4-FFF2-40B4-BE49-F238E27FC236}">
              <a16:creationId xmlns:a16="http://schemas.microsoft.com/office/drawing/2014/main" id="{855706E9-AFAD-4170-850C-244ABBAAA28D}"/>
            </a:ext>
          </a:extLst>
        </xdr:cNvPr>
        <xdr:cNvSpPr>
          <a:spLocks noChangeShapeType="1"/>
        </xdr:cNvSpPr>
      </xdr:nvSpPr>
      <xdr:spPr bwMode="auto">
        <a:xfrm>
          <a:off x="5250180" y="7246620"/>
          <a:ext cx="2057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99060</xdr:colOff>
      <xdr:row>42</xdr:row>
      <xdr:rowOff>0</xdr:rowOff>
    </xdr:from>
    <xdr:to>
      <xdr:col>14</xdr:col>
      <xdr:colOff>304800</xdr:colOff>
      <xdr:row>42</xdr:row>
      <xdr:rowOff>0</xdr:rowOff>
    </xdr:to>
    <xdr:sp macro="" textlink="">
      <xdr:nvSpPr>
        <xdr:cNvPr id="118" name="Line 324">
          <a:extLst>
            <a:ext uri="{FF2B5EF4-FFF2-40B4-BE49-F238E27FC236}">
              <a16:creationId xmlns:a16="http://schemas.microsoft.com/office/drawing/2014/main" id="{A09A73E9-0929-440D-BE26-5C265F793B88}"/>
            </a:ext>
          </a:extLst>
        </xdr:cNvPr>
        <xdr:cNvSpPr>
          <a:spLocks noChangeShapeType="1"/>
        </xdr:cNvSpPr>
      </xdr:nvSpPr>
      <xdr:spPr bwMode="auto">
        <a:xfrm>
          <a:off x="5280660" y="7574280"/>
          <a:ext cx="2057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60960</xdr:colOff>
      <xdr:row>57</xdr:row>
      <xdr:rowOff>190500</xdr:rowOff>
    </xdr:from>
    <xdr:to>
      <xdr:col>13</xdr:col>
      <xdr:colOff>137160</xdr:colOff>
      <xdr:row>57</xdr:row>
      <xdr:rowOff>190500</xdr:rowOff>
    </xdr:to>
    <xdr:sp macro="" textlink="">
      <xdr:nvSpPr>
        <xdr:cNvPr id="119" name="Line 329">
          <a:extLst>
            <a:ext uri="{FF2B5EF4-FFF2-40B4-BE49-F238E27FC236}">
              <a16:creationId xmlns:a16="http://schemas.microsoft.com/office/drawing/2014/main" id="{1C899794-71B2-42E5-8531-5DFE4B03AEF1}"/>
            </a:ext>
          </a:extLst>
        </xdr:cNvPr>
        <xdr:cNvSpPr>
          <a:spLocks noChangeShapeType="1"/>
        </xdr:cNvSpPr>
      </xdr:nvSpPr>
      <xdr:spPr bwMode="auto">
        <a:xfrm>
          <a:off x="5067300" y="10279380"/>
          <a:ext cx="76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60960</xdr:colOff>
      <xdr:row>60</xdr:row>
      <xdr:rowOff>190500</xdr:rowOff>
    </xdr:from>
    <xdr:to>
      <xdr:col>13</xdr:col>
      <xdr:colOff>137160</xdr:colOff>
      <xdr:row>60</xdr:row>
      <xdr:rowOff>190500</xdr:rowOff>
    </xdr:to>
    <xdr:sp macro="" textlink="">
      <xdr:nvSpPr>
        <xdr:cNvPr id="120" name="Line 330">
          <a:extLst>
            <a:ext uri="{FF2B5EF4-FFF2-40B4-BE49-F238E27FC236}">
              <a16:creationId xmlns:a16="http://schemas.microsoft.com/office/drawing/2014/main" id="{A79EDCE1-09C1-490C-95FC-18888F76DE58}"/>
            </a:ext>
          </a:extLst>
        </xdr:cNvPr>
        <xdr:cNvSpPr>
          <a:spLocks noChangeShapeType="1"/>
        </xdr:cNvSpPr>
      </xdr:nvSpPr>
      <xdr:spPr bwMode="auto">
        <a:xfrm>
          <a:off x="5067300" y="10812780"/>
          <a:ext cx="76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289560</xdr:colOff>
      <xdr:row>66</xdr:row>
      <xdr:rowOff>7620</xdr:rowOff>
    </xdr:from>
    <xdr:to>
      <xdr:col>6</xdr:col>
      <xdr:colOff>15240</xdr:colOff>
      <xdr:row>68</xdr:row>
      <xdr:rowOff>7620</xdr:rowOff>
    </xdr:to>
    <xdr:grpSp>
      <xdr:nvGrpSpPr>
        <xdr:cNvPr id="121" name="Group 331">
          <a:extLst>
            <a:ext uri="{FF2B5EF4-FFF2-40B4-BE49-F238E27FC236}">
              <a16:creationId xmlns:a16="http://schemas.microsoft.com/office/drawing/2014/main" id="{AFE404D0-4ECF-4336-8BD1-C3F1941608AF}"/>
            </a:ext>
          </a:extLst>
        </xdr:cNvPr>
        <xdr:cNvGrpSpPr>
          <a:grpSpLocks/>
        </xdr:cNvGrpSpPr>
      </xdr:nvGrpSpPr>
      <xdr:grpSpPr bwMode="auto">
        <a:xfrm>
          <a:off x="4997631" y="13587549"/>
          <a:ext cx="181520" cy="367392"/>
          <a:chOff x="184" y="594"/>
          <a:chExt cx="15" cy="35"/>
        </a:xfrm>
      </xdr:grpSpPr>
      <xdr:sp macro="" textlink="">
        <xdr:nvSpPr>
          <xdr:cNvPr id="122" name="Line 332">
            <a:extLst>
              <a:ext uri="{FF2B5EF4-FFF2-40B4-BE49-F238E27FC236}">
                <a16:creationId xmlns:a16="http://schemas.microsoft.com/office/drawing/2014/main" id="{5CDCCFE3-44A2-563C-C040-338A7B6C478D}"/>
              </a:ext>
            </a:extLst>
          </xdr:cNvPr>
          <xdr:cNvSpPr>
            <a:spLocks noChangeShapeType="1"/>
          </xdr:cNvSpPr>
        </xdr:nvSpPr>
        <xdr:spPr bwMode="auto">
          <a:xfrm flipH="1">
            <a:off x="193" y="594"/>
            <a:ext cx="6" cy="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3" name="Line 333">
            <a:extLst>
              <a:ext uri="{FF2B5EF4-FFF2-40B4-BE49-F238E27FC236}">
                <a16:creationId xmlns:a16="http://schemas.microsoft.com/office/drawing/2014/main" id="{FFC99AD0-40E4-B5F2-1B1C-FEBC036BA050}"/>
              </a:ext>
            </a:extLst>
          </xdr:cNvPr>
          <xdr:cNvSpPr>
            <a:spLocks noChangeShapeType="1"/>
          </xdr:cNvSpPr>
        </xdr:nvSpPr>
        <xdr:spPr bwMode="auto">
          <a:xfrm>
            <a:off x="190" y="617"/>
            <a:ext cx="2" cy="1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4" name="Line 334">
            <a:extLst>
              <a:ext uri="{FF2B5EF4-FFF2-40B4-BE49-F238E27FC236}">
                <a16:creationId xmlns:a16="http://schemas.microsoft.com/office/drawing/2014/main" id="{1594FB7B-7314-518B-7F79-B30A7905A6E8}"/>
              </a:ext>
            </a:extLst>
          </xdr:cNvPr>
          <xdr:cNvSpPr>
            <a:spLocks noChangeShapeType="1"/>
          </xdr:cNvSpPr>
        </xdr:nvSpPr>
        <xdr:spPr bwMode="auto">
          <a:xfrm flipH="1">
            <a:off x="184" y="618"/>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45720</xdr:colOff>
      <xdr:row>76</xdr:row>
      <xdr:rowOff>7620</xdr:rowOff>
    </xdr:from>
    <xdr:to>
      <xdr:col>5</xdr:col>
      <xdr:colOff>251460</xdr:colOff>
      <xdr:row>76</xdr:row>
      <xdr:rowOff>7620</xdr:rowOff>
    </xdr:to>
    <xdr:sp macro="" textlink="">
      <xdr:nvSpPr>
        <xdr:cNvPr id="125" name="Line 335">
          <a:extLst>
            <a:ext uri="{FF2B5EF4-FFF2-40B4-BE49-F238E27FC236}">
              <a16:creationId xmlns:a16="http://schemas.microsoft.com/office/drawing/2014/main" id="{65954EB7-3FA5-43CA-9AD5-362C7EFFA90C}"/>
            </a:ext>
          </a:extLst>
        </xdr:cNvPr>
        <xdr:cNvSpPr>
          <a:spLocks noChangeShapeType="1"/>
        </xdr:cNvSpPr>
      </xdr:nvSpPr>
      <xdr:spPr bwMode="auto">
        <a:xfrm>
          <a:off x="2446020" y="13449300"/>
          <a:ext cx="2057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38100</xdr:colOff>
      <xdr:row>75</xdr:row>
      <xdr:rowOff>160020</xdr:rowOff>
    </xdr:from>
    <xdr:to>
      <xdr:col>13</xdr:col>
      <xdr:colOff>152400</xdr:colOff>
      <xdr:row>75</xdr:row>
      <xdr:rowOff>160020</xdr:rowOff>
    </xdr:to>
    <xdr:sp macro="" textlink="">
      <xdr:nvSpPr>
        <xdr:cNvPr id="126" name="Line 338">
          <a:extLst>
            <a:ext uri="{FF2B5EF4-FFF2-40B4-BE49-F238E27FC236}">
              <a16:creationId xmlns:a16="http://schemas.microsoft.com/office/drawing/2014/main" id="{E9E38D2E-D934-46FD-8AFF-5B2E4C9D39A9}"/>
            </a:ext>
          </a:extLst>
        </xdr:cNvPr>
        <xdr:cNvSpPr>
          <a:spLocks noChangeShapeType="1"/>
        </xdr:cNvSpPr>
      </xdr:nvSpPr>
      <xdr:spPr bwMode="auto">
        <a:xfrm>
          <a:off x="5044440" y="13403580"/>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60960</xdr:colOff>
      <xdr:row>84</xdr:row>
      <xdr:rowOff>0</xdr:rowOff>
    </xdr:from>
    <xdr:to>
      <xdr:col>8</xdr:col>
      <xdr:colOff>396240</xdr:colOff>
      <xdr:row>84</xdr:row>
      <xdr:rowOff>0</xdr:rowOff>
    </xdr:to>
    <xdr:sp macro="" textlink="">
      <xdr:nvSpPr>
        <xdr:cNvPr id="127" name="Line 339">
          <a:extLst>
            <a:ext uri="{FF2B5EF4-FFF2-40B4-BE49-F238E27FC236}">
              <a16:creationId xmlns:a16="http://schemas.microsoft.com/office/drawing/2014/main" id="{95A82C72-C26A-4AC7-85B9-548442F129B2}"/>
            </a:ext>
          </a:extLst>
        </xdr:cNvPr>
        <xdr:cNvSpPr>
          <a:spLocks noChangeShapeType="1"/>
        </xdr:cNvSpPr>
      </xdr:nvSpPr>
      <xdr:spPr bwMode="auto">
        <a:xfrm>
          <a:off x="3444240" y="14813280"/>
          <a:ext cx="3352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297180</xdr:colOff>
      <xdr:row>88</xdr:row>
      <xdr:rowOff>30480</xdr:rowOff>
    </xdr:from>
    <xdr:to>
      <xdr:col>6</xdr:col>
      <xdr:colOff>289560</xdr:colOff>
      <xdr:row>88</xdr:row>
      <xdr:rowOff>30480</xdr:rowOff>
    </xdr:to>
    <xdr:sp macro="" textlink="">
      <xdr:nvSpPr>
        <xdr:cNvPr id="128" name="Line 340">
          <a:extLst>
            <a:ext uri="{FF2B5EF4-FFF2-40B4-BE49-F238E27FC236}">
              <a16:creationId xmlns:a16="http://schemas.microsoft.com/office/drawing/2014/main" id="{93E773BE-6729-403F-BC13-F40557FE9790}"/>
            </a:ext>
          </a:extLst>
        </xdr:cNvPr>
        <xdr:cNvSpPr>
          <a:spLocks noChangeShapeType="1"/>
        </xdr:cNvSpPr>
      </xdr:nvSpPr>
      <xdr:spPr bwMode="auto">
        <a:xfrm>
          <a:off x="2697480" y="15552420"/>
          <a:ext cx="3124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297180</xdr:colOff>
      <xdr:row>104</xdr:row>
      <xdr:rowOff>160020</xdr:rowOff>
    </xdr:from>
    <xdr:to>
      <xdr:col>6</xdr:col>
      <xdr:colOff>289560</xdr:colOff>
      <xdr:row>104</xdr:row>
      <xdr:rowOff>160020</xdr:rowOff>
    </xdr:to>
    <xdr:sp macro="" textlink="">
      <xdr:nvSpPr>
        <xdr:cNvPr id="129" name="Line 341">
          <a:extLst>
            <a:ext uri="{FF2B5EF4-FFF2-40B4-BE49-F238E27FC236}">
              <a16:creationId xmlns:a16="http://schemas.microsoft.com/office/drawing/2014/main" id="{6037E382-107D-4E2A-9395-C9831E4E8F8B}"/>
            </a:ext>
          </a:extLst>
        </xdr:cNvPr>
        <xdr:cNvSpPr>
          <a:spLocks noChangeShapeType="1"/>
        </xdr:cNvSpPr>
      </xdr:nvSpPr>
      <xdr:spPr bwMode="auto">
        <a:xfrm>
          <a:off x="2697480" y="18539460"/>
          <a:ext cx="3124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297180</xdr:colOff>
      <xdr:row>119</xdr:row>
      <xdr:rowOff>160020</xdr:rowOff>
    </xdr:from>
    <xdr:to>
      <xdr:col>6</xdr:col>
      <xdr:colOff>289560</xdr:colOff>
      <xdr:row>119</xdr:row>
      <xdr:rowOff>160020</xdr:rowOff>
    </xdr:to>
    <xdr:sp macro="" textlink="">
      <xdr:nvSpPr>
        <xdr:cNvPr id="130" name="Line 342">
          <a:extLst>
            <a:ext uri="{FF2B5EF4-FFF2-40B4-BE49-F238E27FC236}">
              <a16:creationId xmlns:a16="http://schemas.microsoft.com/office/drawing/2014/main" id="{6DD0DE4A-2CC1-4F7C-954D-3075094CEC7E}"/>
            </a:ext>
          </a:extLst>
        </xdr:cNvPr>
        <xdr:cNvSpPr>
          <a:spLocks noChangeShapeType="1"/>
        </xdr:cNvSpPr>
      </xdr:nvSpPr>
      <xdr:spPr bwMode="auto">
        <a:xfrm>
          <a:off x="2697480" y="21137880"/>
          <a:ext cx="3124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381000</xdr:colOff>
      <xdr:row>15</xdr:row>
      <xdr:rowOff>99060</xdr:rowOff>
    </xdr:from>
    <xdr:ext cx="1021080" cy="172227"/>
    <xdr:sp macro="" textlink="">
      <xdr:nvSpPr>
        <xdr:cNvPr id="132" name="TextBox 131">
          <a:extLst>
            <a:ext uri="{FF2B5EF4-FFF2-40B4-BE49-F238E27FC236}">
              <a16:creationId xmlns:a16="http://schemas.microsoft.com/office/drawing/2014/main" id="{BF0FF67A-3EBC-498D-AB32-FB503CC8F3CD}"/>
            </a:ext>
          </a:extLst>
        </xdr:cNvPr>
        <xdr:cNvSpPr txBox="1"/>
      </xdr:nvSpPr>
      <xdr:spPr>
        <a:xfrm>
          <a:off x="3970020" y="3093720"/>
          <a:ext cx="10210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N" sz="1100">
            <a:solidFill>
              <a:schemeClr val="tx1"/>
            </a:solidFill>
          </a:endParaRPr>
        </a:p>
      </xdr:txBody>
    </xdr:sp>
    <xdr:clientData/>
  </xdr:oneCellAnchor>
  <xdr:oneCellAnchor>
    <xdr:from>
      <xdr:col>2</xdr:col>
      <xdr:colOff>693420</xdr:colOff>
      <xdr:row>15</xdr:row>
      <xdr:rowOff>91440</xdr:rowOff>
    </xdr:from>
    <xdr:ext cx="1021080" cy="247953"/>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5BE2D6F-0D5A-42E1-8BC0-2F8C989DCFA6}"/>
                </a:ext>
              </a:extLst>
            </xdr:cNvPr>
            <xdr:cNvSpPr txBox="1"/>
          </xdr:nvSpPr>
          <xdr:spPr>
            <a:xfrm>
              <a:off x="4282440" y="3086100"/>
              <a:ext cx="1021080" cy="2479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a:solidFill>
                    <a:schemeClr val="tx1"/>
                  </a:solidFill>
                </a:rPr>
                <a:t>k </a:t>
              </a:r>
              <a:r>
                <a:rPr lang="en-IN" sz="1100" baseline="0">
                  <a:solidFill>
                    <a:schemeClr val="tx1"/>
                  </a:solidFill>
                </a:rPr>
                <a:t> </a:t>
              </a:r>
              <a:r>
                <a:rPr lang="en-IN" sz="1100">
                  <a:solidFill>
                    <a:schemeClr val="tx1"/>
                  </a:solidFill>
                </a:rPr>
                <a:t>=  </a:t>
              </a:r>
              <a14:m>
                <m:oMath xmlns:m="http://schemas.openxmlformats.org/officeDocument/2006/math">
                  <m:f>
                    <m:fPr>
                      <m:ctrlPr>
                        <a:rPr lang="en-IN" sz="1100" i="1">
                          <a:solidFill>
                            <a:schemeClr val="tx1"/>
                          </a:solidFill>
                          <a:latin typeface="Cambria Math" panose="02040503050406030204" pitchFamily="18" charset="0"/>
                        </a:rPr>
                      </m:ctrlPr>
                    </m:fPr>
                    <m:num>
                      <m:r>
                        <a:rPr lang="en-IN" sz="1100" i="1">
                          <a:solidFill>
                            <a:schemeClr val="tx1"/>
                          </a:solidFill>
                          <a:latin typeface="Cambria Math" panose="02040503050406030204" pitchFamily="18" charset="0"/>
                        </a:rPr>
                        <m:t>𝑚</m:t>
                      </m:r>
                      <m:r>
                        <a:rPr lang="en-IN" sz="1100" i="0">
                          <a:solidFill>
                            <a:schemeClr val="tx1"/>
                          </a:solidFill>
                          <a:latin typeface="Cambria Math" panose="02040503050406030204" pitchFamily="18" charset="0"/>
                        </a:rPr>
                        <m:t>∗</m:t>
                      </m:r>
                      <m:sSub>
                        <m:sSubPr>
                          <m:ctrlPr>
                            <a:rPr lang="en-IN" sz="1100" i="1">
                              <a:solidFill>
                                <a:schemeClr val="tx1"/>
                              </a:solidFill>
                              <a:latin typeface="Cambria Math" panose="02040503050406030204" pitchFamily="18" charset="0"/>
                            </a:rPr>
                          </m:ctrlPr>
                        </m:sSubPr>
                        <m:e>
                          <m:r>
                            <a:rPr lang="en-IN" sz="1100" i="1">
                              <a:solidFill>
                                <a:schemeClr val="tx1"/>
                              </a:solidFill>
                              <a:latin typeface="Cambria Math" panose="02040503050406030204" pitchFamily="18" charset="0"/>
                            </a:rPr>
                            <m:t>𝜎</m:t>
                          </m:r>
                        </m:e>
                        <m:sub>
                          <m:r>
                            <a:rPr lang="en-IN" sz="1100" b="0" i="1">
                              <a:solidFill>
                                <a:schemeClr val="tx1"/>
                              </a:solidFill>
                              <a:latin typeface="Cambria Math" panose="02040503050406030204" pitchFamily="18" charset="0"/>
                            </a:rPr>
                            <m:t>𝑐𝑏𝑐</m:t>
                          </m:r>
                        </m:sub>
                      </m:sSub>
                    </m:num>
                    <m:den>
                      <m:r>
                        <a:rPr lang="en-IN" sz="1100" i="1">
                          <a:solidFill>
                            <a:schemeClr val="tx1"/>
                          </a:solidFill>
                          <a:latin typeface="Cambria Math" panose="02040503050406030204" pitchFamily="18" charset="0"/>
                        </a:rPr>
                        <m:t>𝑚</m:t>
                      </m:r>
                      <m:r>
                        <a:rPr lang="en-IN" sz="1100" i="0">
                          <a:solidFill>
                            <a:schemeClr val="tx1"/>
                          </a:solidFill>
                          <a:latin typeface="Cambria Math" panose="02040503050406030204" pitchFamily="18" charset="0"/>
                        </a:rPr>
                        <m:t>∗</m:t>
                      </m:r>
                      <m:sSub>
                        <m:sSubPr>
                          <m:ctrlPr>
                            <a:rPr lang="en-IN" sz="1100" i="1">
                              <a:solidFill>
                                <a:schemeClr val="tx1"/>
                              </a:solidFill>
                              <a:latin typeface="Cambria Math" panose="02040503050406030204" pitchFamily="18" charset="0"/>
                            </a:rPr>
                          </m:ctrlPr>
                        </m:sSubPr>
                        <m:e>
                          <m:r>
                            <a:rPr lang="en-IN" sz="1100" i="1">
                              <a:solidFill>
                                <a:schemeClr val="tx1"/>
                              </a:solidFill>
                              <a:latin typeface="Cambria Math" panose="02040503050406030204" pitchFamily="18" charset="0"/>
                            </a:rPr>
                            <m:t>𝜎</m:t>
                          </m:r>
                        </m:e>
                        <m:sub>
                          <m:r>
                            <a:rPr lang="en-IN" sz="1100" b="0" i="1">
                              <a:solidFill>
                                <a:schemeClr val="tx1"/>
                              </a:solidFill>
                              <a:latin typeface="Cambria Math" panose="02040503050406030204" pitchFamily="18" charset="0"/>
                            </a:rPr>
                            <m:t>𝑐𝑏𝑐</m:t>
                          </m:r>
                        </m:sub>
                      </m:sSub>
                      <m:r>
                        <a:rPr lang="en-IN" sz="1100" i="0">
                          <a:solidFill>
                            <a:schemeClr val="tx1"/>
                          </a:solidFill>
                          <a:latin typeface="Cambria Math" panose="02040503050406030204" pitchFamily="18" charset="0"/>
                        </a:rPr>
                        <m:t>+</m:t>
                      </m:r>
                      <m:sSub>
                        <m:sSubPr>
                          <m:ctrlPr>
                            <a:rPr lang="en-IN" sz="1100" i="1">
                              <a:solidFill>
                                <a:schemeClr val="tx1"/>
                              </a:solidFill>
                              <a:latin typeface="Cambria Math" panose="02040503050406030204" pitchFamily="18" charset="0"/>
                            </a:rPr>
                          </m:ctrlPr>
                        </m:sSubPr>
                        <m:e>
                          <m:r>
                            <a:rPr lang="en-IN" sz="1100" i="1">
                              <a:solidFill>
                                <a:schemeClr val="tx1"/>
                              </a:solidFill>
                              <a:latin typeface="Cambria Math" panose="02040503050406030204" pitchFamily="18" charset="0"/>
                            </a:rPr>
                            <m:t>𝜎</m:t>
                          </m:r>
                        </m:e>
                        <m:sub>
                          <m:r>
                            <a:rPr lang="en-IN" sz="1100" i="1">
                              <a:solidFill>
                                <a:schemeClr val="tx1"/>
                              </a:solidFill>
                              <a:latin typeface="Cambria Math" panose="02040503050406030204" pitchFamily="18" charset="0"/>
                            </a:rPr>
                            <m:t>𝑠𝑡</m:t>
                          </m:r>
                        </m:sub>
                      </m:sSub>
                    </m:den>
                  </m:f>
                </m:oMath>
              </a14:m>
              <a:endParaRPr lang="en-IN" sz="1100">
                <a:solidFill>
                  <a:schemeClr val="tx1"/>
                </a:solidFill>
              </a:endParaRPr>
            </a:p>
          </xdr:txBody>
        </xdr:sp>
      </mc:Choice>
      <mc:Fallback xmlns="">
        <xdr:sp macro="" textlink="">
          <xdr:nvSpPr>
            <xdr:cNvPr id="133" name="TextBox 132">
              <a:extLst>
                <a:ext uri="{FF2B5EF4-FFF2-40B4-BE49-F238E27FC236}">
                  <a16:creationId xmlns:a16="http://schemas.microsoft.com/office/drawing/2014/main" id="{15BE2D6F-0D5A-42E1-8BC0-2F8C989DCFA6}"/>
                </a:ext>
              </a:extLst>
            </xdr:cNvPr>
            <xdr:cNvSpPr txBox="1"/>
          </xdr:nvSpPr>
          <xdr:spPr>
            <a:xfrm>
              <a:off x="4282440" y="3086100"/>
              <a:ext cx="1021080" cy="2479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a:solidFill>
                    <a:schemeClr val="tx1"/>
                  </a:solidFill>
                </a:rPr>
                <a:t>k </a:t>
              </a:r>
              <a:r>
                <a:rPr lang="en-IN" sz="1100" baseline="0">
                  <a:solidFill>
                    <a:schemeClr val="tx1"/>
                  </a:solidFill>
                </a:rPr>
                <a:t> </a:t>
              </a:r>
              <a:r>
                <a:rPr lang="en-IN" sz="1100">
                  <a:solidFill>
                    <a:schemeClr val="tx1"/>
                  </a:solidFill>
                </a:rPr>
                <a:t>=  </a:t>
              </a:r>
              <a:r>
                <a:rPr lang="en-IN" sz="1100" i="0">
                  <a:solidFill>
                    <a:schemeClr val="tx1"/>
                  </a:solidFill>
                  <a:latin typeface="Cambria Math" panose="02040503050406030204" pitchFamily="18" charset="0"/>
                </a:rPr>
                <a:t>(𝑚∗𝜎_</a:t>
              </a:r>
              <a:r>
                <a:rPr lang="en-IN" sz="1100" b="0" i="0">
                  <a:solidFill>
                    <a:schemeClr val="tx1"/>
                  </a:solidFill>
                  <a:latin typeface="Cambria Math" panose="02040503050406030204" pitchFamily="18" charset="0"/>
                </a:rPr>
                <a:t>𝑐𝑏𝑐)/(</a:t>
              </a:r>
              <a:r>
                <a:rPr lang="en-IN" sz="1100" i="0">
                  <a:solidFill>
                    <a:schemeClr val="tx1"/>
                  </a:solidFill>
                  <a:latin typeface="Cambria Math" panose="02040503050406030204" pitchFamily="18" charset="0"/>
                </a:rPr>
                <a:t>𝑚∗𝜎_</a:t>
              </a:r>
              <a:r>
                <a:rPr lang="en-IN" sz="1100" b="0" i="0">
                  <a:solidFill>
                    <a:schemeClr val="tx1"/>
                  </a:solidFill>
                  <a:latin typeface="Cambria Math" panose="02040503050406030204" pitchFamily="18" charset="0"/>
                </a:rPr>
                <a:t>𝑐𝑏𝑐</a:t>
              </a:r>
              <a:r>
                <a:rPr lang="en-IN" sz="1100" i="0">
                  <a:solidFill>
                    <a:schemeClr val="tx1"/>
                  </a:solidFill>
                  <a:latin typeface="Cambria Math" panose="02040503050406030204" pitchFamily="18" charset="0"/>
                </a:rPr>
                <a:t>+𝜎_𝑠𝑡 )</a:t>
              </a:r>
              <a:endParaRPr lang="en-IN" sz="1100">
                <a:solidFill>
                  <a:schemeClr val="tx1"/>
                </a:solidFill>
              </a:endParaRPr>
            </a:p>
          </xdr:txBody>
        </xdr:sp>
      </mc:Fallback>
    </mc:AlternateContent>
    <xdr:clientData/>
  </xdr:oneCellAnchor>
  <xdr:oneCellAnchor>
    <xdr:from>
      <xdr:col>2</xdr:col>
      <xdr:colOff>251460</xdr:colOff>
      <xdr:row>17</xdr:row>
      <xdr:rowOff>7620</xdr:rowOff>
    </xdr:from>
    <xdr:ext cx="596958" cy="321435"/>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6A69F70B-63E4-4201-A432-11430ED98207}"/>
                </a:ext>
              </a:extLst>
            </xdr:cNvPr>
            <xdr:cNvSpPr txBox="1"/>
          </xdr:nvSpPr>
          <xdr:spPr>
            <a:xfrm>
              <a:off x="3840480" y="3368040"/>
              <a:ext cx="596958"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i="1">
                        <a:solidFill>
                          <a:schemeClr val="tx1"/>
                        </a:solidFill>
                        <a:latin typeface="Cambria Math" panose="02040503050406030204" pitchFamily="18" charset="0"/>
                      </a:rPr>
                      <m:t>𝑗</m:t>
                    </m:r>
                    <m:r>
                      <a:rPr lang="en-IN" sz="1100" i="0">
                        <a:solidFill>
                          <a:schemeClr val="tx1"/>
                        </a:solidFill>
                        <a:latin typeface="Cambria Math" panose="02040503050406030204" pitchFamily="18" charset="0"/>
                      </a:rPr>
                      <m:t>=1−</m:t>
                    </m:r>
                    <m:f>
                      <m:fPr>
                        <m:ctrlPr>
                          <a:rPr lang="en-IN" sz="1100" i="1">
                            <a:solidFill>
                              <a:schemeClr val="tx1"/>
                            </a:solidFill>
                            <a:latin typeface="Cambria Math" panose="02040503050406030204" pitchFamily="18" charset="0"/>
                          </a:rPr>
                        </m:ctrlPr>
                      </m:fPr>
                      <m:num>
                        <m:r>
                          <a:rPr lang="en-IN" sz="1100" b="0" i="1">
                            <a:solidFill>
                              <a:schemeClr val="tx1"/>
                            </a:solidFill>
                            <a:latin typeface="Cambria Math" panose="02040503050406030204" pitchFamily="18" charset="0"/>
                          </a:rPr>
                          <m:t>𝑘</m:t>
                        </m:r>
                      </m:num>
                      <m:den>
                        <m:r>
                          <a:rPr lang="en-IN" sz="1100" i="0">
                            <a:solidFill>
                              <a:schemeClr val="tx1"/>
                            </a:solidFill>
                            <a:latin typeface="Cambria Math" panose="02040503050406030204" pitchFamily="18" charset="0"/>
                          </a:rPr>
                          <m:t>3</m:t>
                        </m:r>
                      </m:den>
                    </m:f>
                  </m:oMath>
                </m:oMathPara>
              </a14:m>
              <a:endParaRPr lang="en-IN" sz="1100">
                <a:solidFill>
                  <a:schemeClr val="tx1"/>
                </a:solidFill>
              </a:endParaRPr>
            </a:p>
          </xdr:txBody>
        </xdr:sp>
      </mc:Choice>
      <mc:Fallback xmlns="">
        <xdr:sp macro="" textlink="">
          <xdr:nvSpPr>
            <xdr:cNvPr id="134" name="TextBox 133">
              <a:extLst>
                <a:ext uri="{FF2B5EF4-FFF2-40B4-BE49-F238E27FC236}">
                  <a16:creationId xmlns:a16="http://schemas.microsoft.com/office/drawing/2014/main" id="{6A69F70B-63E4-4201-A432-11430ED98207}"/>
                </a:ext>
              </a:extLst>
            </xdr:cNvPr>
            <xdr:cNvSpPr txBox="1"/>
          </xdr:nvSpPr>
          <xdr:spPr>
            <a:xfrm>
              <a:off x="3840480" y="3368040"/>
              <a:ext cx="596958"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solidFill>
                    <a:schemeClr val="tx1"/>
                  </a:solidFill>
                  <a:latin typeface="Cambria Math" panose="02040503050406030204" pitchFamily="18" charset="0"/>
                </a:rPr>
                <a:t>𝑗=1−</a:t>
              </a:r>
              <a:r>
                <a:rPr lang="en-IN" sz="1100" b="0" i="0">
                  <a:solidFill>
                    <a:schemeClr val="tx1"/>
                  </a:solidFill>
                  <a:latin typeface="Cambria Math" panose="02040503050406030204" pitchFamily="18" charset="0"/>
                </a:rPr>
                <a:t>𝑘/</a:t>
              </a:r>
              <a:r>
                <a:rPr lang="en-IN" sz="1100" i="0">
                  <a:solidFill>
                    <a:schemeClr val="tx1"/>
                  </a:solidFill>
                  <a:latin typeface="Cambria Math" panose="02040503050406030204" pitchFamily="18" charset="0"/>
                </a:rPr>
                <a:t>3</a:t>
              </a:r>
              <a:endParaRPr lang="en-IN" sz="1100">
                <a:solidFill>
                  <a:schemeClr val="tx1"/>
                </a:solidFill>
              </a:endParaRPr>
            </a:p>
          </xdr:txBody>
        </xdr:sp>
      </mc:Fallback>
    </mc:AlternateContent>
    <xdr:clientData/>
  </xdr:oneCellAnchor>
  <xdr:oneCellAnchor>
    <xdr:from>
      <xdr:col>4</xdr:col>
      <xdr:colOff>89781</xdr:colOff>
      <xdr:row>163</xdr:row>
      <xdr:rowOff>165226</xdr:rowOff>
    </xdr:from>
    <xdr:ext cx="301942" cy="339773"/>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3C7ABA5F-5CF5-3EC6-2903-4BED66BA0AD9}"/>
                </a:ext>
              </a:extLst>
            </xdr:cNvPr>
            <xdr:cNvSpPr txBox="1"/>
          </xdr:nvSpPr>
          <xdr:spPr>
            <a:xfrm>
              <a:off x="5061642" y="32282394"/>
              <a:ext cx="301942"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IN" sz="1100" i="1">
                            <a:solidFill>
                              <a:srgbClr val="836967"/>
                            </a:solidFill>
                            <a:latin typeface="Cambria Math" panose="02040503050406030204" pitchFamily="18" charset="0"/>
                          </a:rPr>
                        </m:ctrlPr>
                      </m:fPr>
                      <m:num>
                        <m:r>
                          <a:rPr lang="en-IN" sz="1100" i="1">
                            <a:latin typeface="Cambria Math" panose="02040503050406030204" pitchFamily="18" charset="0"/>
                          </a:rPr>
                          <m:t>𝑤</m:t>
                        </m:r>
                        <m:sSup>
                          <m:sSupPr>
                            <m:ctrlPr>
                              <a:rPr lang="en-IN" sz="1100" i="1">
                                <a:solidFill>
                                  <a:srgbClr val="836967"/>
                                </a:solidFill>
                                <a:latin typeface="Cambria Math" panose="02040503050406030204" pitchFamily="18" charset="0"/>
                              </a:rPr>
                            </m:ctrlPr>
                          </m:sSupPr>
                          <m:e>
                            <m:r>
                              <a:rPr lang="en-IN" sz="1100" i="1">
                                <a:latin typeface="Cambria Math" panose="02040503050406030204" pitchFamily="18" charset="0"/>
                              </a:rPr>
                              <m:t>𝐵</m:t>
                            </m:r>
                          </m:e>
                          <m:sup>
                            <m:r>
                              <a:rPr lang="en-IN" sz="1100" i="0">
                                <a:latin typeface="Cambria Math" panose="02040503050406030204" pitchFamily="18" charset="0"/>
                              </a:rPr>
                              <m:t>2</m:t>
                            </m:r>
                          </m:sup>
                        </m:sSup>
                      </m:num>
                      <m:den>
                        <m:r>
                          <a:rPr lang="en-IN" sz="1100" i="0">
                            <a:latin typeface="Cambria Math" panose="02040503050406030204" pitchFamily="18" charset="0"/>
                          </a:rPr>
                          <m:t>8</m:t>
                        </m:r>
                      </m:den>
                    </m:f>
                  </m:oMath>
                </m:oMathPara>
              </a14:m>
              <a:endParaRPr lang="en-IN" sz="1100"/>
            </a:p>
          </xdr:txBody>
        </xdr:sp>
      </mc:Choice>
      <mc:Fallback xmlns="">
        <xdr:sp macro="" textlink="">
          <xdr:nvSpPr>
            <xdr:cNvPr id="7" name="TextBox 6">
              <a:extLst>
                <a:ext uri="{FF2B5EF4-FFF2-40B4-BE49-F238E27FC236}">
                  <a16:creationId xmlns:a16="http://schemas.microsoft.com/office/drawing/2014/main" id="{3C7ABA5F-5CF5-3EC6-2903-4BED66BA0AD9}"/>
                </a:ext>
              </a:extLst>
            </xdr:cNvPr>
            <xdr:cNvSpPr txBox="1"/>
          </xdr:nvSpPr>
          <xdr:spPr>
            <a:xfrm>
              <a:off x="5061642" y="32282394"/>
              <a:ext cx="301942"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solidFill>
                    <a:srgbClr val="836967"/>
                  </a:solidFill>
                  <a:latin typeface="Cambria Math" panose="02040503050406030204" pitchFamily="18" charset="0"/>
                </a:rPr>
                <a:t>(</a:t>
              </a:r>
              <a:r>
                <a:rPr lang="en-IN" sz="1100" i="0">
                  <a:latin typeface="Cambria Math" panose="02040503050406030204" pitchFamily="18" charset="0"/>
                </a:rPr>
                <a:t>𝑤𝐵</a:t>
              </a:r>
              <a:r>
                <a:rPr lang="en-IN" sz="1100" i="0">
                  <a:solidFill>
                    <a:srgbClr val="836967"/>
                  </a:solidFill>
                  <a:latin typeface="Cambria Math" panose="02040503050406030204" pitchFamily="18" charset="0"/>
                </a:rPr>
                <a:t>^</a:t>
              </a:r>
              <a:r>
                <a:rPr lang="en-IN" sz="1100" i="0">
                  <a:latin typeface="Cambria Math" panose="02040503050406030204" pitchFamily="18" charset="0"/>
                </a:rPr>
                <a:t>2</a:t>
              </a:r>
              <a:r>
                <a:rPr lang="en-IN" sz="1100" i="0">
                  <a:solidFill>
                    <a:srgbClr val="836967"/>
                  </a:solidFill>
                  <a:latin typeface="Cambria Math" panose="02040503050406030204" pitchFamily="18" charset="0"/>
                </a:rPr>
                <a:t>)/</a:t>
              </a:r>
              <a:r>
                <a:rPr lang="en-IN" sz="1100" i="0">
                  <a:latin typeface="Cambria Math" panose="02040503050406030204" pitchFamily="18" charset="0"/>
                </a:rPr>
                <a:t>8</a:t>
              </a:r>
              <a:endParaRPr lang="en-IN" sz="1100"/>
            </a:p>
          </xdr:txBody>
        </xdr:sp>
      </mc:Fallback>
    </mc:AlternateContent>
    <xdr:clientData/>
  </xdr:oneCellAnchor>
  <xdr:oneCellAnchor>
    <xdr:from>
      <xdr:col>4</xdr:col>
      <xdr:colOff>29423</xdr:colOff>
      <xdr:row>166</xdr:row>
      <xdr:rowOff>119957</xdr:rowOff>
    </xdr:from>
    <xdr:ext cx="263214" cy="50013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D85F617A-1C3B-635A-C863-47997294ADE0}"/>
                </a:ext>
              </a:extLst>
            </xdr:cNvPr>
            <xdr:cNvSpPr txBox="1"/>
          </xdr:nvSpPr>
          <xdr:spPr>
            <a:xfrm>
              <a:off x="4940928" y="32802967"/>
              <a:ext cx="263214"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r>
                              <a:rPr lang="en-IN" sz="1100" i="1">
                                <a:latin typeface="Cambria Math" panose="02040503050406030204" pitchFamily="18" charset="0"/>
                              </a:rPr>
                              <m:t>𝑀</m:t>
                            </m:r>
                          </m:num>
                          <m:den>
                            <m:r>
                              <a:rPr lang="en-IN" sz="1100" i="1">
                                <a:latin typeface="Cambria Math" panose="02040503050406030204" pitchFamily="18" charset="0"/>
                              </a:rPr>
                              <m:t>𝑅</m:t>
                            </m:r>
                          </m:den>
                        </m:f>
                      </m:e>
                    </m:rad>
                  </m:oMath>
                </m:oMathPara>
              </a14:m>
              <a:endParaRPr lang="en-IN" sz="1100"/>
            </a:p>
          </xdr:txBody>
        </xdr:sp>
      </mc:Choice>
      <mc:Fallback xmlns="">
        <xdr:sp macro="" textlink="">
          <xdr:nvSpPr>
            <xdr:cNvPr id="131" name="TextBox 130">
              <a:extLst>
                <a:ext uri="{FF2B5EF4-FFF2-40B4-BE49-F238E27FC236}">
                  <a16:creationId xmlns:a16="http://schemas.microsoft.com/office/drawing/2014/main" id="{D85F617A-1C3B-635A-C863-47997294ADE0}"/>
                </a:ext>
              </a:extLst>
            </xdr:cNvPr>
            <xdr:cNvSpPr txBox="1"/>
          </xdr:nvSpPr>
          <xdr:spPr>
            <a:xfrm>
              <a:off x="4940928" y="32802967"/>
              <a:ext cx="263214"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solidFill>
                    <a:srgbClr val="836967"/>
                  </a:solidFill>
                  <a:latin typeface="Cambria Math" panose="02040503050406030204" pitchFamily="18" charset="0"/>
                </a:rPr>
                <a:t>√(</a:t>
              </a:r>
              <a:r>
                <a:rPr lang="en-IN" sz="1100" i="0">
                  <a:latin typeface="Cambria Math" panose="02040503050406030204" pitchFamily="18" charset="0"/>
                </a:rPr>
                <a:t>𝑀</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𝑅</a:t>
              </a:r>
              <a:r>
                <a:rPr lang="en-IN" sz="1100" i="0">
                  <a:solidFill>
                    <a:srgbClr val="836967"/>
                  </a:solidFill>
                  <a:latin typeface="Cambria Math" panose="02040503050406030204" pitchFamily="18" charset="0"/>
                </a:rPr>
                <a:t>)</a:t>
              </a:r>
              <a:endParaRPr lang="en-IN" sz="1100"/>
            </a:p>
          </xdr:txBody>
        </xdr:sp>
      </mc:Fallback>
    </mc:AlternateContent>
    <xdr:clientData/>
  </xdr:oneCellAnchor>
  <xdr:oneCellAnchor>
    <xdr:from>
      <xdr:col>5</xdr:col>
      <xdr:colOff>344558</xdr:colOff>
      <xdr:row>167</xdr:row>
      <xdr:rowOff>0</xdr:rowOff>
    </xdr:from>
    <xdr:ext cx="172277" cy="596348"/>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A075E491-CFD3-5EA3-FAB4-8F8B51B31E5C}"/>
                </a:ext>
              </a:extLst>
            </xdr:cNvPr>
            <xdr:cNvSpPr txBox="1"/>
          </xdr:nvSpPr>
          <xdr:spPr>
            <a:xfrm>
              <a:off x="5705062" y="33468365"/>
              <a:ext cx="172277" cy="596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ad>
                      <m:radPr>
                        <m:degHide m:val="on"/>
                        <m:ctrlPr>
                          <a:rPr lang="en-IN" sz="1800" i="1">
                            <a:solidFill>
                              <a:srgbClr val="836967"/>
                            </a:solidFill>
                            <a:latin typeface="Cambria Math" panose="02040503050406030204" pitchFamily="18" charset="0"/>
                          </a:rPr>
                        </m:ctrlPr>
                      </m:radPr>
                      <m:deg/>
                      <m:e/>
                    </m:rad>
                  </m:oMath>
                </m:oMathPara>
              </a14:m>
              <a:endParaRPr lang="en-IN" sz="1200"/>
            </a:p>
          </xdr:txBody>
        </xdr:sp>
      </mc:Choice>
      <mc:Fallback xmlns="">
        <xdr:sp macro="" textlink="">
          <xdr:nvSpPr>
            <xdr:cNvPr id="136" name="TextBox 135">
              <a:extLst>
                <a:ext uri="{FF2B5EF4-FFF2-40B4-BE49-F238E27FC236}">
                  <a16:creationId xmlns:a16="http://schemas.microsoft.com/office/drawing/2014/main" id="{A075E491-CFD3-5EA3-FAB4-8F8B51B31E5C}"/>
                </a:ext>
              </a:extLst>
            </xdr:cNvPr>
            <xdr:cNvSpPr txBox="1"/>
          </xdr:nvSpPr>
          <xdr:spPr>
            <a:xfrm>
              <a:off x="5705062" y="33468365"/>
              <a:ext cx="172277" cy="596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800" i="0">
                  <a:solidFill>
                    <a:srgbClr val="836967"/>
                  </a:solidFill>
                  <a:latin typeface="Cambria Math" panose="02040503050406030204" pitchFamily="18" charset="0"/>
                </a:rPr>
                <a:t>√</a:t>
              </a:r>
              <a:endParaRPr lang="en-IN" sz="1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8</xdr:col>
      <xdr:colOff>22860</xdr:colOff>
      <xdr:row>22</xdr:row>
      <xdr:rowOff>0</xdr:rowOff>
    </xdr:from>
    <xdr:to>
      <xdr:col>8</xdr:col>
      <xdr:colOff>22860</xdr:colOff>
      <xdr:row>23</xdr:row>
      <xdr:rowOff>0</xdr:rowOff>
    </xdr:to>
    <xdr:sp macro="" textlink="">
      <xdr:nvSpPr>
        <xdr:cNvPr id="45" name="Line 136">
          <a:extLst>
            <a:ext uri="{FF2B5EF4-FFF2-40B4-BE49-F238E27FC236}">
              <a16:creationId xmlns:a16="http://schemas.microsoft.com/office/drawing/2014/main" id="{96BAF173-B698-4A8B-94A9-6082B7421055}"/>
            </a:ext>
          </a:extLst>
        </xdr:cNvPr>
        <xdr:cNvSpPr>
          <a:spLocks noChangeShapeType="1"/>
        </xdr:cNvSpPr>
      </xdr:nvSpPr>
      <xdr:spPr bwMode="auto">
        <a:xfrm>
          <a:off x="5021580" y="3718560"/>
          <a:ext cx="0" cy="1676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419100</xdr:colOff>
      <xdr:row>22</xdr:row>
      <xdr:rowOff>91440</xdr:rowOff>
    </xdr:from>
    <xdr:to>
      <xdr:col>4</xdr:col>
      <xdr:colOff>144780</xdr:colOff>
      <xdr:row>22</xdr:row>
      <xdr:rowOff>91440</xdr:rowOff>
    </xdr:to>
    <xdr:sp macro="" textlink="">
      <xdr:nvSpPr>
        <xdr:cNvPr id="46" name="Line 138">
          <a:extLst>
            <a:ext uri="{FF2B5EF4-FFF2-40B4-BE49-F238E27FC236}">
              <a16:creationId xmlns:a16="http://schemas.microsoft.com/office/drawing/2014/main" id="{38A11DE4-FC1C-476F-B344-818AED012616}"/>
            </a:ext>
          </a:extLst>
        </xdr:cNvPr>
        <xdr:cNvSpPr>
          <a:spLocks noChangeShapeType="1"/>
        </xdr:cNvSpPr>
      </xdr:nvSpPr>
      <xdr:spPr bwMode="auto">
        <a:xfrm flipH="1">
          <a:off x="1668780" y="3810000"/>
          <a:ext cx="9753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167640</xdr:colOff>
      <xdr:row>22</xdr:row>
      <xdr:rowOff>68580</xdr:rowOff>
    </xdr:from>
    <xdr:to>
      <xdr:col>7</xdr:col>
      <xdr:colOff>251460</xdr:colOff>
      <xdr:row>22</xdr:row>
      <xdr:rowOff>68580</xdr:rowOff>
    </xdr:to>
    <xdr:sp macro="" textlink="">
      <xdr:nvSpPr>
        <xdr:cNvPr id="47" name="Line 139">
          <a:extLst>
            <a:ext uri="{FF2B5EF4-FFF2-40B4-BE49-F238E27FC236}">
              <a16:creationId xmlns:a16="http://schemas.microsoft.com/office/drawing/2014/main" id="{753FF148-73CD-4328-ACDF-7A47101D3CA7}"/>
            </a:ext>
          </a:extLst>
        </xdr:cNvPr>
        <xdr:cNvSpPr>
          <a:spLocks noChangeShapeType="1"/>
        </xdr:cNvSpPr>
      </xdr:nvSpPr>
      <xdr:spPr bwMode="auto">
        <a:xfrm>
          <a:off x="3291840" y="3787140"/>
          <a:ext cx="1333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22860</xdr:colOff>
      <xdr:row>22</xdr:row>
      <xdr:rowOff>68580</xdr:rowOff>
    </xdr:from>
    <xdr:to>
      <xdr:col>8</xdr:col>
      <xdr:colOff>152400</xdr:colOff>
      <xdr:row>22</xdr:row>
      <xdr:rowOff>68580</xdr:rowOff>
    </xdr:to>
    <xdr:sp macro="" textlink="">
      <xdr:nvSpPr>
        <xdr:cNvPr id="48" name="Line 140">
          <a:extLst>
            <a:ext uri="{FF2B5EF4-FFF2-40B4-BE49-F238E27FC236}">
              <a16:creationId xmlns:a16="http://schemas.microsoft.com/office/drawing/2014/main" id="{0A7EA786-3D67-4A1F-BD4E-5C40E232EE5D}"/>
            </a:ext>
          </a:extLst>
        </xdr:cNvPr>
        <xdr:cNvSpPr>
          <a:spLocks noChangeShapeType="1"/>
        </xdr:cNvSpPr>
      </xdr:nvSpPr>
      <xdr:spPr bwMode="auto">
        <a:xfrm flipH="1">
          <a:off x="5021580" y="3787140"/>
          <a:ext cx="1295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281940</xdr:colOff>
      <xdr:row>22</xdr:row>
      <xdr:rowOff>76200</xdr:rowOff>
    </xdr:from>
    <xdr:to>
      <xdr:col>2</xdr:col>
      <xdr:colOff>22860</xdr:colOff>
      <xdr:row>22</xdr:row>
      <xdr:rowOff>76200</xdr:rowOff>
    </xdr:to>
    <xdr:sp macro="" textlink="">
      <xdr:nvSpPr>
        <xdr:cNvPr id="49" name="Line 142">
          <a:extLst>
            <a:ext uri="{FF2B5EF4-FFF2-40B4-BE49-F238E27FC236}">
              <a16:creationId xmlns:a16="http://schemas.microsoft.com/office/drawing/2014/main" id="{CC7ADE6B-6F54-4353-9976-15683122294E}"/>
            </a:ext>
          </a:extLst>
        </xdr:cNvPr>
        <xdr:cNvSpPr>
          <a:spLocks noChangeShapeType="1"/>
        </xdr:cNvSpPr>
      </xdr:nvSpPr>
      <xdr:spPr bwMode="auto">
        <a:xfrm>
          <a:off x="906780" y="3794760"/>
          <a:ext cx="3657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381000</xdr:colOff>
      <xdr:row>8</xdr:row>
      <xdr:rowOff>45720</xdr:rowOff>
    </xdr:from>
    <xdr:to>
      <xdr:col>7</xdr:col>
      <xdr:colOff>236220</xdr:colOff>
      <xdr:row>8</xdr:row>
      <xdr:rowOff>45720</xdr:rowOff>
    </xdr:to>
    <xdr:sp macro="" textlink="">
      <xdr:nvSpPr>
        <xdr:cNvPr id="51" name="Line 149">
          <a:extLst>
            <a:ext uri="{FF2B5EF4-FFF2-40B4-BE49-F238E27FC236}">
              <a16:creationId xmlns:a16="http://schemas.microsoft.com/office/drawing/2014/main" id="{1F1AF66E-33B9-4DDF-836B-559E0509D68A}"/>
            </a:ext>
          </a:extLst>
        </xdr:cNvPr>
        <xdr:cNvSpPr>
          <a:spLocks noChangeShapeType="1"/>
        </xdr:cNvSpPr>
      </xdr:nvSpPr>
      <xdr:spPr bwMode="auto">
        <a:xfrm>
          <a:off x="1630680" y="1417320"/>
          <a:ext cx="29794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373380</xdr:colOff>
      <xdr:row>17</xdr:row>
      <xdr:rowOff>106680</xdr:rowOff>
    </xdr:from>
    <xdr:to>
      <xdr:col>7</xdr:col>
      <xdr:colOff>243840</xdr:colOff>
      <xdr:row>17</xdr:row>
      <xdr:rowOff>106680</xdr:rowOff>
    </xdr:to>
    <xdr:sp macro="" textlink="">
      <xdr:nvSpPr>
        <xdr:cNvPr id="52" name="Line 150">
          <a:extLst>
            <a:ext uri="{FF2B5EF4-FFF2-40B4-BE49-F238E27FC236}">
              <a16:creationId xmlns:a16="http://schemas.microsoft.com/office/drawing/2014/main" id="{115E2DEC-A030-4194-AAC2-94598D9DFB62}"/>
            </a:ext>
          </a:extLst>
        </xdr:cNvPr>
        <xdr:cNvSpPr>
          <a:spLocks noChangeShapeType="1"/>
        </xdr:cNvSpPr>
      </xdr:nvSpPr>
      <xdr:spPr bwMode="auto">
        <a:xfrm>
          <a:off x="1623060" y="2987040"/>
          <a:ext cx="29946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388620</xdr:colOff>
      <xdr:row>8</xdr:row>
      <xdr:rowOff>68580</xdr:rowOff>
    </xdr:from>
    <xdr:to>
      <xdr:col>2</xdr:col>
      <xdr:colOff>388620</xdr:colOff>
      <xdr:row>17</xdr:row>
      <xdr:rowOff>99060</xdr:rowOff>
    </xdr:to>
    <xdr:sp macro="" textlink="">
      <xdr:nvSpPr>
        <xdr:cNvPr id="53" name="Line 151">
          <a:extLst>
            <a:ext uri="{FF2B5EF4-FFF2-40B4-BE49-F238E27FC236}">
              <a16:creationId xmlns:a16="http://schemas.microsoft.com/office/drawing/2014/main" id="{D4E8C496-8F67-4255-90AE-4FC953A47BCB}"/>
            </a:ext>
          </a:extLst>
        </xdr:cNvPr>
        <xdr:cNvSpPr>
          <a:spLocks noChangeShapeType="1"/>
        </xdr:cNvSpPr>
      </xdr:nvSpPr>
      <xdr:spPr bwMode="auto">
        <a:xfrm>
          <a:off x="1638300" y="1440180"/>
          <a:ext cx="0" cy="15392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236220</xdr:colOff>
      <xdr:row>8</xdr:row>
      <xdr:rowOff>45720</xdr:rowOff>
    </xdr:from>
    <xdr:to>
      <xdr:col>7</xdr:col>
      <xdr:colOff>236220</xdr:colOff>
      <xdr:row>17</xdr:row>
      <xdr:rowOff>99060</xdr:rowOff>
    </xdr:to>
    <xdr:sp macro="" textlink="">
      <xdr:nvSpPr>
        <xdr:cNvPr id="54" name="Line 152">
          <a:extLst>
            <a:ext uri="{FF2B5EF4-FFF2-40B4-BE49-F238E27FC236}">
              <a16:creationId xmlns:a16="http://schemas.microsoft.com/office/drawing/2014/main" id="{1AF77592-57B4-4BCB-8347-A8AF1237F0C5}"/>
            </a:ext>
          </a:extLst>
        </xdr:cNvPr>
        <xdr:cNvSpPr>
          <a:spLocks noChangeShapeType="1"/>
        </xdr:cNvSpPr>
      </xdr:nvSpPr>
      <xdr:spPr bwMode="auto">
        <a:xfrm>
          <a:off x="4610100" y="1417320"/>
          <a:ext cx="0" cy="1562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76200</xdr:colOff>
      <xdr:row>6</xdr:row>
      <xdr:rowOff>106680</xdr:rowOff>
    </xdr:from>
    <xdr:to>
      <xdr:col>7</xdr:col>
      <xdr:colOff>563880</xdr:colOff>
      <xdr:row>6</xdr:row>
      <xdr:rowOff>106680</xdr:rowOff>
    </xdr:to>
    <xdr:sp macro="" textlink="">
      <xdr:nvSpPr>
        <xdr:cNvPr id="74" name="Line 179">
          <a:extLst>
            <a:ext uri="{FF2B5EF4-FFF2-40B4-BE49-F238E27FC236}">
              <a16:creationId xmlns:a16="http://schemas.microsoft.com/office/drawing/2014/main" id="{C470F57F-842C-45E7-8FE0-673AA7F9533C}"/>
            </a:ext>
          </a:extLst>
        </xdr:cNvPr>
        <xdr:cNvSpPr>
          <a:spLocks noChangeShapeType="1"/>
        </xdr:cNvSpPr>
      </xdr:nvSpPr>
      <xdr:spPr bwMode="auto">
        <a:xfrm>
          <a:off x="1325880" y="1143000"/>
          <a:ext cx="36118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106680</xdr:colOff>
      <xdr:row>6</xdr:row>
      <xdr:rowOff>76200</xdr:rowOff>
    </xdr:from>
    <xdr:to>
      <xdr:col>2</xdr:col>
      <xdr:colOff>106680</xdr:colOff>
      <xdr:row>19</xdr:row>
      <xdr:rowOff>129540</xdr:rowOff>
    </xdr:to>
    <xdr:sp macro="" textlink="">
      <xdr:nvSpPr>
        <xdr:cNvPr id="75" name="Line 180">
          <a:extLst>
            <a:ext uri="{FF2B5EF4-FFF2-40B4-BE49-F238E27FC236}">
              <a16:creationId xmlns:a16="http://schemas.microsoft.com/office/drawing/2014/main" id="{DF4F582C-5F98-4107-9E21-1555FA3977AC}"/>
            </a:ext>
          </a:extLst>
        </xdr:cNvPr>
        <xdr:cNvSpPr>
          <a:spLocks noChangeShapeType="1"/>
        </xdr:cNvSpPr>
      </xdr:nvSpPr>
      <xdr:spPr bwMode="auto">
        <a:xfrm>
          <a:off x="1356360" y="1112520"/>
          <a:ext cx="0" cy="223266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68580</xdr:colOff>
      <xdr:row>19</xdr:row>
      <xdr:rowOff>68580</xdr:rowOff>
    </xdr:from>
    <xdr:to>
      <xdr:col>7</xdr:col>
      <xdr:colOff>548640</xdr:colOff>
      <xdr:row>19</xdr:row>
      <xdr:rowOff>68580</xdr:rowOff>
    </xdr:to>
    <xdr:sp macro="" textlink="">
      <xdr:nvSpPr>
        <xdr:cNvPr id="76" name="Line 181">
          <a:extLst>
            <a:ext uri="{FF2B5EF4-FFF2-40B4-BE49-F238E27FC236}">
              <a16:creationId xmlns:a16="http://schemas.microsoft.com/office/drawing/2014/main" id="{C331EA96-DA5B-431C-9363-9387990E316D}"/>
            </a:ext>
          </a:extLst>
        </xdr:cNvPr>
        <xdr:cNvSpPr>
          <a:spLocks noChangeShapeType="1"/>
        </xdr:cNvSpPr>
      </xdr:nvSpPr>
      <xdr:spPr bwMode="auto">
        <a:xfrm>
          <a:off x="1318260" y="3284220"/>
          <a:ext cx="36042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6</xdr:row>
      <xdr:rowOff>38100</xdr:rowOff>
    </xdr:from>
    <xdr:to>
      <xdr:col>8</xdr:col>
      <xdr:colOff>0</xdr:colOff>
      <xdr:row>19</xdr:row>
      <xdr:rowOff>121920</xdr:rowOff>
    </xdr:to>
    <xdr:sp macro="" textlink="">
      <xdr:nvSpPr>
        <xdr:cNvPr id="77" name="Line 182">
          <a:extLst>
            <a:ext uri="{FF2B5EF4-FFF2-40B4-BE49-F238E27FC236}">
              <a16:creationId xmlns:a16="http://schemas.microsoft.com/office/drawing/2014/main" id="{0FD5B20C-C216-439E-8883-7EFC954EC868}"/>
            </a:ext>
          </a:extLst>
        </xdr:cNvPr>
        <xdr:cNvSpPr>
          <a:spLocks noChangeShapeType="1"/>
        </xdr:cNvSpPr>
      </xdr:nvSpPr>
      <xdr:spPr bwMode="auto">
        <a:xfrm>
          <a:off x="4998720" y="1074420"/>
          <a:ext cx="0" cy="226314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38100</xdr:colOff>
      <xdr:row>6</xdr:row>
      <xdr:rowOff>68580</xdr:rowOff>
    </xdr:from>
    <xdr:to>
      <xdr:col>2</xdr:col>
      <xdr:colOff>99060</xdr:colOff>
      <xdr:row>6</xdr:row>
      <xdr:rowOff>129540</xdr:rowOff>
    </xdr:to>
    <xdr:sp macro="" textlink="">
      <xdr:nvSpPr>
        <xdr:cNvPr id="78" name="Arc 183">
          <a:extLst>
            <a:ext uri="{FF2B5EF4-FFF2-40B4-BE49-F238E27FC236}">
              <a16:creationId xmlns:a16="http://schemas.microsoft.com/office/drawing/2014/main" id="{5385940D-C0FE-4773-A8C5-44E8A30E1BBD}"/>
            </a:ext>
          </a:extLst>
        </xdr:cNvPr>
        <xdr:cNvSpPr>
          <a:spLocks/>
        </xdr:cNvSpPr>
      </xdr:nvSpPr>
      <xdr:spPr bwMode="auto">
        <a:xfrm>
          <a:off x="1287780" y="11049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45720</xdr:colOff>
      <xdr:row>7</xdr:row>
      <xdr:rowOff>121920</xdr:rowOff>
    </xdr:from>
    <xdr:to>
      <xdr:col>2</xdr:col>
      <xdr:colOff>106680</xdr:colOff>
      <xdr:row>8</xdr:row>
      <xdr:rowOff>7620</xdr:rowOff>
    </xdr:to>
    <xdr:sp macro="" textlink="">
      <xdr:nvSpPr>
        <xdr:cNvPr id="79" name="Arc 184">
          <a:extLst>
            <a:ext uri="{FF2B5EF4-FFF2-40B4-BE49-F238E27FC236}">
              <a16:creationId xmlns:a16="http://schemas.microsoft.com/office/drawing/2014/main" id="{E4E1F952-645F-4124-A7DF-AA97BAB758DD}"/>
            </a:ext>
          </a:extLst>
        </xdr:cNvPr>
        <xdr:cNvSpPr>
          <a:spLocks/>
        </xdr:cNvSpPr>
      </xdr:nvSpPr>
      <xdr:spPr bwMode="auto">
        <a:xfrm>
          <a:off x="1295400" y="1325880"/>
          <a:ext cx="60960" cy="5334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304800</xdr:colOff>
      <xdr:row>7</xdr:row>
      <xdr:rowOff>129540</xdr:rowOff>
    </xdr:from>
    <xdr:to>
      <xdr:col>2</xdr:col>
      <xdr:colOff>358140</xdr:colOff>
      <xdr:row>8</xdr:row>
      <xdr:rowOff>22860</xdr:rowOff>
    </xdr:to>
    <xdr:sp macro="" textlink="">
      <xdr:nvSpPr>
        <xdr:cNvPr id="80" name="Arc 187">
          <a:extLst>
            <a:ext uri="{FF2B5EF4-FFF2-40B4-BE49-F238E27FC236}">
              <a16:creationId xmlns:a16="http://schemas.microsoft.com/office/drawing/2014/main" id="{94436476-4A49-4BD0-B428-E2A42E218992}"/>
            </a:ext>
          </a:extLst>
        </xdr:cNvPr>
        <xdr:cNvSpPr>
          <a:spLocks/>
        </xdr:cNvSpPr>
      </xdr:nvSpPr>
      <xdr:spPr bwMode="auto">
        <a:xfrm>
          <a:off x="1554480" y="133350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289560</xdr:colOff>
      <xdr:row>6</xdr:row>
      <xdr:rowOff>38100</xdr:rowOff>
    </xdr:from>
    <xdr:to>
      <xdr:col>2</xdr:col>
      <xdr:colOff>350520</xdr:colOff>
      <xdr:row>6</xdr:row>
      <xdr:rowOff>99060</xdr:rowOff>
    </xdr:to>
    <xdr:sp macro="" textlink="">
      <xdr:nvSpPr>
        <xdr:cNvPr id="81" name="Arc 188">
          <a:extLst>
            <a:ext uri="{FF2B5EF4-FFF2-40B4-BE49-F238E27FC236}">
              <a16:creationId xmlns:a16="http://schemas.microsoft.com/office/drawing/2014/main" id="{B2246996-C6EC-49EA-8420-1224CA51CAD2}"/>
            </a:ext>
          </a:extLst>
        </xdr:cNvPr>
        <xdr:cNvSpPr>
          <a:spLocks/>
        </xdr:cNvSpPr>
      </xdr:nvSpPr>
      <xdr:spPr bwMode="auto">
        <a:xfrm>
          <a:off x="153924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45720</xdr:colOff>
      <xdr:row>11</xdr:row>
      <xdr:rowOff>30480</xdr:rowOff>
    </xdr:from>
    <xdr:to>
      <xdr:col>2</xdr:col>
      <xdr:colOff>106680</xdr:colOff>
      <xdr:row>11</xdr:row>
      <xdr:rowOff>91440</xdr:rowOff>
    </xdr:to>
    <xdr:sp macro="" textlink="">
      <xdr:nvSpPr>
        <xdr:cNvPr id="82" name="Arc 190">
          <a:extLst>
            <a:ext uri="{FF2B5EF4-FFF2-40B4-BE49-F238E27FC236}">
              <a16:creationId xmlns:a16="http://schemas.microsoft.com/office/drawing/2014/main" id="{A810096F-FB6B-4025-A4D5-2E4E2991B3AD}"/>
            </a:ext>
          </a:extLst>
        </xdr:cNvPr>
        <xdr:cNvSpPr>
          <a:spLocks/>
        </xdr:cNvSpPr>
      </xdr:nvSpPr>
      <xdr:spPr bwMode="auto">
        <a:xfrm>
          <a:off x="1295400" y="19050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274320</xdr:colOff>
      <xdr:row>11</xdr:row>
      <xdr:rowOff>30480</xdr:rowOff>
    </xdr:from>
    <xdr:to>
      <xdr:col>2</xdr:col>
      <xdr:colOff>335280</xdr:colOff>
      <xdr:row>11</xdr:row>
      <xdr:rowOff>91440</xdr:rowOff>
    </xdr:to>
    <xdr:sp macro="" textlink="">
      <xdr:nvSpPr>
        <xdr:cNvPr id="83" name="Arc 191">
          <a:extLst>
            <a:ext uri="{FF2B5EF4-FFF2-40B4-BE49-F238E27FC236}">
              <a16:creationId xmlns:a16="http://schemas.microsoft.com/office/drawing/2014/main" id="{F8E0D35B-E654-4FAF-974F-28513139D546}"/>
            </a:ext>
          </a:extLst>
        </xdr:cNvPr>
        <xdr:cNvSpPr>
          <a:spLocks/>
        </xdr:cNvSpPr>
      </xdr:nvSpPr>
      <xdr:spPr bwMode="auto">
        <a:xfrm>
          <a:off x="1524000" y="19050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30480</xdr:colOff>
      <xdr:row>13</xdr:row>
      <xdr:rowOff>30480</xdr:rowOff>
    </xdr:from>
    <xdr:to>
      <xdr:col>2</xdr:col>
      <xdr:colOff>91440</xdr:colOff>
      <xdr:row>13</xdr:row>
      <xdr:rowOff>91440</xdr:rowOff>
    </xdr:to>
    <xdr:sp macro="" textlink="">
      <xdr:nvSpPr>
        <xdr:cNvPr id="84" name="Arc 192">
          <a:extLst>
            <a:ext uri="{FF2B5EF4-FFF2-40B4-BE49-F238E27FC236}">
              <a16:creationId xmlns:a16="http://schemas.microsoft.com/office/drawing/2014/main" id="{9778394E-B9CF-4C26-B2C8-D497D3AD77E6}"/>
            </a:ext>
          </a:extLst>
        </xdr:cNvPr>
        <xdr:cNvSpPr>
          <a:spLocks/>
        </xdr:cNvSpPr>
      </xdr:nvSpPr>
      <xdr:spPr bwMode="auto">
        <a:xfrm>
          <a:off x="1280160" y="224028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304800</xdr:colOff>
      <xdr:row>13</xdr:row>
      <xdr:rowOff>22860</xdr:rowOff>
    </xdr:from>
    <xdr:to>
      <xdr:col>2</xdr:col>
      <xdr:colOff>365760</xdr:colOff>
      <xdr:row>13</xdr:row>
      <xdr:rowOff>83820</xdr:rowOff>
    </xdr:to>
    <xdr:sp macro="" textlink="">
      <xdr:nvSpPr>
        <xdr:cNvPr id="85" name="Arc 193">
          <a:extLst>
            <a:ext uri="{FF2B5EF4-FFF2-40B4-BE49-F238E27FC236}">
              <a16:creationId xmlns:a16="http://schemas.microsoft.com/office/drawing/2014/main" id="{CF555012-2D33-44FE-AA31-A0748FEEFBE5}"/>
            </a:ext>
          </a:extLst>
        </xdr:cNvPr>
        <xdr:cNvSpPr>
          <a:spLocks/>
        </xdr:cNvSpPr>
      </xdr:nvSpPr>
      <xdr:spPr bwMode="auto">
        <a:xfrm>
          <a:off x="1554480" y="223266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30480</xdr:colOff>
      <xdr:row>15</xdr:row>
      <xdr:rowOff>0</xdr:rowOff>
    </xdr:from>
    <xdr:to>
      <xdr:col>2</xdr:col>
      <xdr:colOff>91440</xdr:colOff>
      <xdr:row>15</xdr:row>
      <xdr:rowOff>60960</xdr:rowOff>
    </xdr:to>
    <xdr:sp macro="" textlink="">
      <xdr:nvSpPr>
        <xdr:cNvPr id="86" name="Arc 194">
          <a:extLst>
            <a:ext uri="{FF2B5EF4-FFF2-40B4-BE49-F238E27FC236}">
              <a16:creationId xmlns:a16="http://schemas.microsoft.com/office/drawing/2014/main" id="{E18691AC-6D7C-4C38-95CD-A19CD253B112}"/>
            </a:ext>
          </a:extLst>
        </xdr:cNvPr>
        <xdr:cNvSpPr>
          <a:spLocks/>
        </xdr:cNvSpPr>
      </xdr:nvSpPr>
      <xdr:spPr bwMode="auto">
        <a:xfrm>
          <a:off x="1280160" y="254508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304800</xdr:colOff>
      <xdr:row>14</xdr:row>
      <xdr:rowOff>160020</xdr:rowOff>
    </xdr:from>
    <xdr:to>
      <xdr:col>2</xdr:col>
      <xdr:colOff>358140</xdr:colOff>
      <xdr:row>15</xdr:row>
      <xdr:rowOff>45720</xdr:rowOff>
    </xdr:to>
    <xdr:sp macro="" textlink="">
      <xdr:nvSpPr>
        <xdr:cNvPr id="87" name="Arc 195">
          <a:extLst>
            <a:ext uri="{FF2B5EF4-FFF2-40B4-BE49-F238E27FC236}">
              <a16:creationId xmlns:a16="http://schemas.microsoft.com/office/drawing/2014/main" id="{C63A3341-8192-4A5F-8BFC-27DBA9355675}"/>
            </a:ext>
          </a:extLst>
        </xdr:cNvPr>
        <xdr:cNvSpPr>
          <a:spLocks/>
        </xdr:cNvSpPr>
      </xdr:nvSpPr>
      <xdr:spPr bwMode="auto">
        <a:xfrm>
          <a:off x="1554480" y="2537460"/>
          <a:ext cx="53340" cy="5334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38100</xdr:colOff>
      <xdr:row>16</xdr:row>
      <xdr:rowOff>121920</xdr:rowOff>
    </xdr:from>
    <xdr:to>
      <xdr:col>2</xdr:col>
      <xdr:colOff>99060</xdr:colOff>
      <xdr:row>17</xdr:row>
      <xdr:rowOff>7620</xdr:rowOff>
    </xdr:to>
    <xdr:sp macro="" textlink="">
      <xdr:nvSpPr>
        <xdr:cNvPr id="88" name="Arc 196">
          <a:extLst>
            <a:ext uri="{FF2B5EF4-FFF2-40B4-BE49-F238E27FC236}">
              <a16:creationId xmlns:a16="http://schemas.microsoft.com/office/drawing/2014/main" id="{742D8E7D-CF82-46CF-88F2-7A099A3C37F2}"/>
            </a:ext>
          </a:extLst>
        </xdr:cNvPr>
        <xdr:cNvSpPr>
          <a:spLocks/>
        </xdr:cNvSpPr>
      </xdr:nvSpPr>
      <xdr:spPr bwMode="auto">
        <a:xfrm>
          <a:off x="1287780" y="2834640"/>
          <a:ext cx="60960" cy="5334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304800</xdr:colOff>
      <xdr:row>16</xdr:row>
      <xdr:rowOff>121920</xdr:rowOff>
    </xdr:from>
    <xdr:to>
      <xdr:col>2</xdr:col>
      <xdr:colOff>358140</xdr:colOff>
      <xdr:row>17</xdr:row>
      <xdr:rowOff>7620</xdr:rowOff>
    </xdr:to>
    <xdr:sp macro="" textlink="">
      <xdr:nvSpPr>
        <xdr:cNvPr id="89" name="Arc 197">
          <a:extLst>
            <a:ext uri="{FF2B5EF4-FFF2-40B4-BE49-F238E27FC236}">
              <a16:creationId xmlns:a16="http://schemas.microsoft.com/office/drawing/2014/main" id="{F3383A1A-0649-4AB1-A3CC-C100D7F8CC0A}"/>
            </a:ext>
          </a:extLst>
        </xdr:cNvPr>
        <xdr:cNvSpPr>
          <a:spLocks/>
        </xdr:cNvSpPr>
      </xdr:nvSpPr>
      <xdr:spPr bwMode="auto">
        <a:xfrm>
          <a:off x="1554480" y="2834640"/>
          <a:ext cx="53340" cy="5334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30480</xdr:colOff>
      <xdr:row>19</xdr:row>
      <xdr:rowOff>7620</xdr:rowOff>
    </xdr:from>
    <xdr:to>
      <xdr:col>2</xdr:col>
      <xdr:colOff>91440</xdr:colOff>
      <xdr:row>19</xdr:row>
      <xdr:rowOff>68580</xdr:rowOff>
    </xdr:to>
    <xdr:sp macro="" textlink="">
      <xdr:nvSpPr>
        <xdr:cNvPr id="90" name="Arc 198">
          <a:extLst>
            <a:ext uri="{FF2B5EF4-FFF2-40B4-BE49-F238E27FC236}">
              <a16:creationId xmlns:a16="http://schemas.microsoft.com/office/drawing/2014/main" id="{0239EBC5-FA5F-47A0-8933-91ABD329B83C}"/>
            </a:ext>
          </a:extLst>
        </xdr:cNvPr>
        <xdr:cNvSpPr>
          <a:spLocks/>
        </xdr:cNvSpPr>
      </xdr:nvSpPr>
      <xdr:spPr bwMode="auto">
        <a:xfrm>
          <a:off x="1280160" y="322326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22860</xdr:colOff>
      <xdr:row>17</xdr:row>
      <xdr:rowOff>144780</xdr:rowOff>
    </xdr:from>
    <xdr:to>
      <xdr:col>3</xdr:col>
      <xdr:colOff>76200</xdr:colOff>
      <xdr:row>18</xdr:row>
      <xdr:rowOff>38100</xdr:rowOff>
    </xdr:to>
    <xdr:sp macro="" textlink="">
      <xdr:nvSpPr>
        <xdr:cNvPr id="91" name="Arc 199">
          <a:extLst>
            <a:ext uri="{FF2B5EF4-FFF2-40B4-BE49-F238E27FC236}">
              <a16:creationId xmlns:a16="http://schemas.microsoft.com/office/drawing/2014/main" id="{84B5C1DE-6E9E-4B5A-B3D8-BAD7977C1A65}"/>
            </a:ext>
          </a:extLst>
        </xdr:cNvPr>
        <xdr:cNvSpPr>
          <a:spLocks/>
        </xdr:cNvSpPr>
      </xdr:nvSpPr>
      <xdr:spPr bwMode="auto">
        <a:xfrm>
          <a:off x="1897380" y="302514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312420</xdr:colOff>
      <xdr:row>19</xdr:row>
      <xdr:rowOff>76200</xdr:rowOff>
    </xdr:from>
    <xdr:to>
      <xdr:col>2</xdr:col>
      <xdr:colOff>373380</xdr:colOff>
      <xdr:row>19</xdr:row>
      <xdr:rowOff>137160</xdr:rowOff>
    </xdr:to>
    <xdr:sp macro="" textlink="">
      <xdr:nvSpPr>
        <xdr:cNvPr id="92" name="Arc 200">
          <a:extLst>
            <a:ext uri="{FF2B5EF4-FFF2-40B4-BE49-F238E27FC236}">
              <a16:creationId xmlns:a16="http://schemas.microsoft.com/office/drawing/2014/main" id="{6DF3581F-BA34-4B99-937E-73495BFF1232}"/>
            </a:ext>
          </a:extLst>
        </xdr:cNvPr>
        <xdr:cNvSpPr>
          <a:spLocks/>
        </xdr:cNvSpPr>
      </xdr:nvSpPr>
      <xdr:spPr bwMode="auto">
        <a:xfrm>
          <a:off x="1562100" y="32918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304800</xdr:colOff>
      <xdr:row>17</xdr:row>
      <xdr:rowOff>137160</xdr:rowOff>
    </xdr:from>
    <xdr:to>
      <xdr:col>2</xdr:col>
      <xdr:colOff>358140</xdr:colOff>
      <xdr:row>18</xdr:row>
      <xdr:rowOff>30480</xdr:rowOff>
    </xdr:to>
    <xdr:sp macro="" textlink="">
      <xdr:nvSpPr>
        <xdr:cNvPr id="93" name="Arc 201">
          <a:extLst>
            <a:ext uri="{FF2B5EF4-FFF2-40B4-BE49-F238E27FC236}">
              <a16:creationId xmlns:a16="http://schemas.microsoft.com/office/drawing/2014/main" id="{64AD8769-BF3E-44F0-B8B1-1C1F8167B64F}"/>
            </a:ext>
          </a:extLst>
        </xdr:cNvPr>
        <xdr:cNvSpPr>
          <a:spLocks/>
        </xdr:cNvSpPr>
      </xdr:nvSpPr>
      <xdr:spPr bwMode="auto">
        <a:xfrm>
          <a:off x="1554480" y="301752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281940</xdr:colOff>
      <xdr:row>6</xdr:row>
      <xdr:rowOff>76200</xdr:rowOff>
    </xdr:from>
    <xdr:to>
      <xdr:col>2</xdr:col>
      <xdr:colOff>281940</xdr:colOff>
      <xdr:row>19</xdr:row>
      <xdr:rowOff>99060</xdr:rowOff>
    </xdr:to>
    <xdr:sp macro="" textlink="">
      <xdr:nvSpPr>
        <xdr:cNvPr id="94" name="Line 202">
          <a:extLst>
            <a:ext uri="{FF2B5EF4-FFF2-40B4-BE49-F238E27FC236}">
              <a16:creationId xmlns:a16="http://schemas.microsoft.com/office/drawing/2014/main" id="{152F9D52-ACD0-4340-AAB8-C1A7728DD039}"/>
            </a:ext>
          </a:extLst>
        </xdr:cNvPr>
        <xdr:cNvSpPr>
          <a:spLocks noChangeShapeType="1"/>
        </xdr:cNvSpPr>
      </xdr:nvSpPr>
      <xdr:spPr bwMode="auto">
        <a:xfrm>
          <a:off x="1531620" y="1112520"/>
          <a:ext cx="0" cy="220218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45720</xdr:colOff>
      <xdr:row>7</xdr:row>
      <xdr:rowOff>121920</xdr:rowOff>
    </xdr:from>
    <xdr:to>
      <xdr:col>7</xdr:col>
      <xdr:colOff>533400</xdr:colOff>
      <xdr:row>7</xdr:row>
      <xdr:rowOff>121920</xdr:rowOff>
    </xdr:to>
    <xdr:sp macro="" textlink="">
      <xdr:nvSpPr>
        <xdr:cNvPr id="95" name="Line 203">
          <a:extLst>
            <a:ext uri="{FF2B5EF4-FFF2-40B4-BE49-F238E27FC236}">
              <a16:creationId xmlns:a16="http://schemas.microsoft.com/office/drawing/2014/main" id="{DB1CD0D1-4270-409E-8832-2DBAE5025C64}"/>
            </a:ext>
          </a:extLst>
        </xdr:cNvPr>
        <xdr:cNvSpPr>
          <a:spLocks noChangeShapeType="1"/>
        </xdr:cNvSpPr>
      </xdr:nvSpPr>
      <xdr:spPr bwMode="auto">
        <a:xfrm>
          <a:off x="1295400" y="1325880"/>
          <a:ext cx="36118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76200</xdr:colOff>
      <xdr:row>18</xdr:row>
      <xdr:rowOff>45720</xdr:rowOff>
    </xdr:from>
    <xdr:to>
      <xdr:col>7</xdr:col>
      <xdr:colOff>548640</xdr:colOff>
      <xdr:row>18</xdr:row>
      <xdr:rowOff>45720</xdr:rowOff>
    </xdr:to>
    <xdr:sp macro="" textlink="">
      <xdr:nvSpPr>
        <xdr:cNvPr id="96" name="Line 204">
          <a:extLst>
            <a:ext uri="{FF2B5EF4-FFF2-40B4-BE49-F238E27FC236}">
              <a16:creationId xmlns:a16="http://schemas.microsoft.com/office/drawing/2014/main" id="{A506D3CA-78DF-4E92-9FFD-5FA02342BFAA}"/>
            </a:ext>
          </a:extLst>
        </xdr:cNvPr>
        <xdr:cNvSpPr>
          <a:spLocks noChangeShapeType="1"/>
        </xdr:cNvSpPr>
      </xdr:nvSpPr>
      <xdr:spPr bwMode="auto">
        <a:xfrm>
          <a:off x="1325880" y="3093720"/>
          <a:ext cx="35966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350520</xdr:colOff>
      <xdr:row>6</xdr:row>
      <xdr:rowOff>99060</xdr:rowOff>
    </xdr:from>
    <xdr:to>
      <xdr:col>7</xdr:col>
      <xdr:colOff>350520</xdr:colOff>
      <xdr:row>19</xdr:row>
      <xdr:rowOff>99060</xdr:rowOff>
    </xdr:to>
    <xdr:sp macro="" textlink="">
      <xdr:nvSpPr>
        <xdr:cNvPr id="97" name="Line 205">
          <a:extLst>
            <a:ext uri="{FF2B5EF4-FFF2-40B4-BE49-F238E27FC236}">
              <a16:creationId xmlns:a16="http://schemas.microsoft.com/office/drawing/2014/main" id="{F1D93811-6CA1-431E-895A-6C54C0235BEC}"/>
            </a:ext>
          </a:extLst>
        </xdr:cNvPr>
        <xdr:cNvSpPr>
          <a:spLocks noChangeShapeType="1"/>
        </xdr:cNvSpPr>
      </xdr:nvSpPr>
      <xdr:spPr bwMode="auto">
        <a:xfrm>
          <a:off x="4724400" y="1135380"/>
          <a:ext cx="0" cy="217932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7620</xdr:colOff>
      <xdr:row>7</xdr:row>
      <xdr:rowOff>121920</xdr:rowOff>
    </xdr:from>
    <xdr:to>
      <xdr:col>3</xdr:col>
      <xdr:colOff>68580</xdr:colOff>
      <xdr:row>8</xdr:row>
      <xdr:rowOff>7620</xdr:rowOff>
    </xdr:to>
    <xdr:sp macro="" textlink="">
      <xdr:nvSpPr>
        <xdr:cNvPr id="98" name="Arc 206">
          <a:extLst>
            <a:ext uri="{FF2B5EF4-FFF2-40B4-BE49-F238E27FC236}">
              <a16:creationId xmlns:a16="http://schemas.microsoft.com/office/drawing/2014/main" id="{F39C4281-23F1-4303-B12D-A2C4D701E448}"/>
            </a:ext>
          </a:extLst>
        </xdr:cNvPr>
        <xdr:cNvSpPr>
          <a:spLocks/>
        </xdr:cNvSpPr>
      </xdr:nvSpPr>
      <xdr:spPr bwMode="auto">
        <a:xfrm>
          <a:off x="1882140" y="1325880"/>
          <a:ext cx="60960" cy="5334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7620</xdr:colOff>
      <xdr:row>6</xdr:row>
      <xdr:rowOff>38100</xdr:rowOff>
    </xdr:from>
    <xdr:to>
      <xdr:col>3</xdr:col>
      <xdr:colOff>68580</xdr:colOff>
      <xdr:row>6</xdr:row>
      <xdr:rowOff>99060</xdr:rowOff>
    </xdr:to>
    <xdr:sp macro="" textlink="">
      <xdr:nvSpPr>
        <xdr:cNvPr id="99" name="Arc 207">
          <a:extLst>
            <a:ext uri="{FF2B5EF4-FFF2-40B4-BE49-F238E27FC236}">
              <a16:creationId xmlns:a16="http://schemas.microsoft.com/office/drawing/2014/main" id="{409C9458-5655-4516-ACD2-D8C0583EF047}"/>
            </a:ext>
          </a:extLst>
        </xdr:cNvPr>
        <xdr:cNvSpPr>
          <a:spLocks/>
        </xdr:cNvSpPr>
      </xdr:nvSpPr>
      <xdr:spPr bwMode="auto">
        <a:xfrm>
          <a:off x="188214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342900</xdr:colOff>
      <xdr:row>7</xdr:row>
      <xdr:rowOff>129540</xdr:rowOff>
    </xdr:from>
    <xdr:to>
      <xdr:col>3</xdr:col>
      <xdr:colOff>403860</xdr:colOff>
      <xdr:row>8</xdr:row>
      <xdr:rowOff>22860</xdr:rowOff>
    </xdr:to>
    <xdr:sp macro="" textlink="">
      <xdr:nvSpPr>
        <xdr:cNvPr id="100" name="Arc 208">
          <a:extLst>
            <a:ext uri="{FF2B5EF4-FFF2-40B4-BE49-F238E27FC236}">
              <a16:creationId xmlns:a16="http://schemas.microsoft.com/office/drawing/2014/main" id="{4570268D-20BF-4DEE-9867-2D2B0E738B73}"/>
            </a:ext>
          </a:extLst>
        </xdr:cNvPr>
        <xdr:cNvSpPr>
          <a:spLocks/>
        </xdr:cNvSpPr>
      </xdr:nvSpPr>
      <xdr:spPr bwMode="auto">
        <a:xfrm>
          <a:off x="2217420" y="13335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335280</xdr:colOff>
      <xdr:row>6</xdr:row>
      <xdr:rowOff>38100</xdr:rowOff>
    </xdr:from>
    <xdr:to>
      <xdr:col>3</xdr:col>
      <xdr:colOff>396240</xdr:colOff>
      <xdr:row>6</xdr:row>
      <xdr:rowOff>99060</xdr:rowOff>
    </xdr:to>
    <xdr:sp macro="" textlink="">
      <xdr:nvSpPr>
        <xdr:cNvPr id="101" name="Arc 209">
          <a:extLst>
            <a:ext uri="{FF2B5EF4-FFF2-40B4-BE49-F238E27FC236}">
              <a16:creationId xmlns:a16="http://schemas.microsoft.com/office/drawing/2014/main" id="{C0B54877-94B1-42D4-AD8A-14EB293688FD}"/>
            </a:ext>
          </a:extLst>
        </xdr:cNvPr>
        <xdr:cNvSpPr>
          <a:spLocks/>
        </xdr:cNvSpPr>
      </xdr:nvSpPr>
      <xdr:spPr bwMode="auto">
        <a:xfrm>
          <a:off x="220980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22860</xdr:colOff>
      <xdr:row>7</xdr:row>
      <xdr:rowOff>129540</xdr:rowOff>
    </xdr:from>
    <xdr:to>
      <xdr:col>4</xdr:col>
      <xdr:colOff>76200</xdr:colOff>
      <xdr:row>8</xdr:row>
      <xdr:rowOff>22860</xdr:rowOff>
    </xdr:to>
    <xdr:sp macro="" textlink="">
      <xdr:nvSpPr>
        <xdr:cNvPr id="102" name="Arc 210">
          <a:extLst>
            <a:ext uri="{FF2B5EF4-FFF2-40B4-BE49-F238E27FC236}">
              <a16:creationId xmlns:a16="http://schemas.microsoft.com/office/drawing/2014/main" id="{67C31D7D-F1D9-431E-B6FC-267A77C56EEE}"/>
            </a:ext>
          </a:extLst>
        </xdr:cNvPr>
        <xdr:cNvSpPr>
          <a:spLocks/>
        </xdr:cNvSpPr>
      </xdr:nvSpPr>
      <xdr:spPr bwMode="auto">
        <a:xfrm>
          <a:off x="2522220" y="133350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22860</xdr:colOff>
      <xdr:row>6</xdr:row>
      <xdr:rowOff>38100</xdr:rowOff>
    </xdr:from>
    <xdr:to>
      <xdr:col>4</xdr:col>
      <xdr:colOff>83820</xdr:colOff>
      <xdr:row>6</xdr:row>
      <xdr:rowOff>99060</xdr:rowOff>
    </xdr:to>
    <xdr:sp macro="" textlink="">
      <xdr:nvSpPr>
        <xdr:cNvPr id="103" name="Arc 211">
          <a:extLst>
            <a:ext uri="{FF2B5EF4-FFF2-40B4-BE49-F238E27FC236}">
              <a16:creationId xmlns:a16="http://schemas.microsoft.com/office/drawing/2014/main" id="{FC95EB72-4FEE-4934-8CA9-40699272B3CC}"/>
            </a:ext>
          </a:extLst>
        </xdr:cNvPr>
        <xdr:cNvSpPr>
          <a:spLocks/>
        </xdr:cNvSpPr>
      </xdr:nvSpPr>
      <xdr:spPr bwMode="auto">
        <a:xfrm>
          <a:off x="252222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342900</xdr:colOff>
      <xdr:row>7</xdr:row>
      <xdr:rowOff>129540</xdr:rowOff>
    </xdr:from>
    <xdr:to>
      <xdr:col>4</xdr:col>
      <xdr:colOff>403860</xdr:colOff>
      <xdr:row>8</xdr:row>
      <xdr:rowOff>22860</xdr:rowOff>
    </xdr:to>
    <xdr:sp macro="" textlink="">
      <xdr:nvSpPr>
        <xdr:cNvPr id="104" name="Arc 212">
          <a:extLst>
            <a:ext uri="{FF2B5EF4-FFF2-40B4-BE49-F238E27FC236}">
              <a16:creationId xmlns:a16="http://schemas.microsoft.com/office/drawing/2014/main" id="{0BCBA74F-72BC-4323-ADDB-46E0277CAC1E}"/>
            </a:ext>
          </a:extLst>
        </xdr:cNvPr>
        <xdr:cNvSpPr>
          <a:spLocks/>
        </xdr:cNvSpPr>
      </xdr:nvSpPr>
      <xdr:spPr bwMode="auto">
        <a:xfrm>
          <a:off x="2842260" y="13335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335280</xdr:colOff>
      <xdr:row>6</xdr:row>
      <xdr:rowOff>38100</xdr:rowOff>
    </xdr:from>
    <xdr:to>
      <xdr:col>4</xdr:col>
      <xdr:colOff>396240</xdr:colOff>
      <xdr:row>6</xdr:row>
      <xdr:rowOff>99060</xdr:rowOff>
    </xdr:to>
    <xdr:sp macro="" textlink="">
      <xdr:nvSpPr>
        <xdr:cNvPr id="105" name="Arc 213">
          <a:extLst>
            <a:ext uri="{FF2B5EF4-FFF2-40B4-BE49-F238E27FC236}">
              <a16:creationId xmlns:a16="http://schemas.microsoft.com/office/drawing/2014/main" id="{84B0EFF8-DCB3-4FD1-B099-FB471295B2E8}"/>
            </a:ext>
          </a:extLst>
        </xdr:cNvPr>
        <xdr:cNvSpPr>
          <a:spLocks/>
        </xdr:cNvSpPr>
      </xdr:nvSpPr>
      <xdr:spPr bwMode="auto">
        <a:xfrm>
          <a:off x="283464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22860</xdr:colOff>
      <xdr:row>7</xdr:row>
      <xdr:rowOff>129540</xdr:rowOff>
    </xdr:from>
    <xdr:to>
      <xdr:col>5</xdr:col>
      <xdr:colOff>76200</xdr:colOff>
      <xdr:row>8</xdr:row>
      <xdr:rowOff>22860</xdr:rowOff>
    </xdr:to>
    <xdr:sp macro="" textlink="">
      <xdr:nvSpPr>
        <xdr:cNvPr id="106" name="Arc 214">
          <a:extLst>
            <a:ext uri="{FF2B5EF4-FFF2-40B4-BE49-F238E27FC236}">
              <a16:creationId xmlns:a16="http://schemas.microsoft.com/office/drawing/2014/main" id="{D4CA9D10-5FCE-456D-A20F-1C376874FD8B}"/>
            </a:ext>
          </a:extLst>
        </xdr:cNvPr>
        <xdr:cNvSpPr>
          <a:spLocks/>
        </xdr:cNvSpPr>
      </xdr:nvSpPr>
      <xdr:spPr bwMode="auto">
        <a:xfrm>
          <a:off x="3147060" y="133350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22860</xdr:colOff>
      <xdr:row>6</xdr:row>
      <xdr:rowOff>38100</xdr:rowOff>
    </xdr:from>
    <xdr:to>
      <xdr:col>5</xdr:col>
      <xdr:colOff>83820</xdr:colOff>
      <xdr:row>6</xdr:row>
      <xdr:rowOff>99060</xdr:rowOff>
    </xdr:to>
    <xdr:sp macro="" textlink="">
      <xdr:nvSpPr>
        <xdr:cNvPr id="107" name="Arc 215">
          <a:extLst>
            <a:ext uri="{FF2B5EF4-FFF2-40B4-BE49-F238E27FC236}">
              <a16:creationId xmlns:a16="http://schemas.microsoft.com/office/drawing/2014/main" id="{DA209E8C-15C5-49A6-9BB8-022C59BB3C55}"/>
            </a:ext>
          </a:extLst>
        </xdr:cNvPr>
        <xdr:cNvSpPr>
          <a:spLocks/>
        </xdr:cNvSpPr>
      </xdr:nvSpPr>
      <xdr:spPr bwMode="auto">
        <a:xfrm>
          <a:off x="314706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335280</xdr:colOff>
      <xdr:row>7</xdr:row>
      <xdr:rowOff>137160</xdr:rowOff>
    </xdr:from>
    <xdr:to>
      <xdr:col>5</xdr:col>
      <xdr:colOff>388620</xdr:colOff>
      <xdr:row>8</xdr:row>
      <xdr:rowOff>30480</xdr:rowOff>
    </xdr:to>
    <xdr:sp macro="" textlink="">
      <xdr:nvSpPr>
        <xdr:cNvPr id="108" name="Arc 216">
          <a:extLst>
            <a:ext uri="{FF2B5EF4-FFF2-40B4-BE49-F238E27FC236}">
              <a16:creationId xmlns:a16="http://schemas.microsoft.com/office/drawing/2014/main" id="{DE9984CF-E132-4867-9F82-ACF73BF7EDD8}"/>
            </a:ext>
          </a:extLst>
        </xdr:cNvPr>
        <xdr:cNvSpPr>
          <a:spLocks/>
        </xdr:cNvSpPr>
      </xdr:nvSpPr>
      <xdr:spPr bwMode="auto">
        <a:xfrm>
          <a:off x="3459480" y="134112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335280</xdr:colOff>
      <xdr:row>6</xdr:row>
      <xdr:rowOff>38100</xdr:rowOff>
    </xdr:from>
    <xdr:to>
      <xdr:col>5</xdr:col>
      <xdr:colOff>396240</xdr:colOff>
      <xdr:row>6</xdr:row>
      <xdr:rowOff>99060</xdr:rowOff>
    </xdr:to>
    <xdr:sp macro="" textlink="">
      <xdr:nvSpPr>
        <xdr:cNvPr id="109" name="Arc 217">
          <a:extLst>
            <a:ext uri="{FF2B5EF4-FFF2-40B4-BE49-F238E27FC236}">
              <a16:creationId xmlns:a16="http://schemas.microsoft.com/office/drawing/2014/main" id="{52801672-667F-42C1-877B-28820074C673}"/>
            </a:ext>
          </a:extLst>
        </xdr:cNvPr>
        <xdr:cNvSpPr>
          <a:spLocks/>
        </xdr:cNvSpPr>
      </xdr:nvSpPr>
      <xdr:spPr bwMode="auto">
        <a:xfrm>
          <a:off x="345948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22860</xdr:colOff>
      <xdr:row>7</xdr:row>
      <xdr:rowOff>129540</xdr:rowOff>
    </xdr:from>
    <xdr:to>
      <xdr:col>6</xdr:col>
      <xdr:colOff>76200</xdr:colOff>
      <xdr:row>8</xdr:row>
      <xdr:rowOff>22860</xdr:rowOff>
    </xdr:to>
    <xdr:sp macro="" textlink="">
      <xdr:nvSpPr>
        <xdr:cNvPr id="110" name="Arc 218">
          <a:extLst>
            <a:ext uri="{FF2B5EF4-FFF2-40B4-BE49-F238E27FC236}">
              <a16:creationId xmlns:a16="http://schemas.microsoft.com/office/drawing/2014/main" id="{45096FDF-105B-4846-919E-36FFB141EEF3}"/>
            </a:ext>
          </a:extLst>
        </xdr:cNvPr>
        <xdr:cNvSpPr>
          <a:spLocks/>
        </xdr:cNvSpPr>
      </xdr:nvSpPr>
      <xdr:spPr bwMode="auto">
        <a:xfrm>
          <a:off x="3771900" y="133350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22860</xdr:colOff>
      <xdr:row>6</xdr:row>
      <xdr:rowOff>38100</xdr:rowOff>
    </xdr:from>
    <xdr:to>
      <xdr:col>6</xdr:col>
      <xdr:colOff>83820</xdr:colOff>
      <xdr:row>6</xdr:row>
      <xdr:rowOff>99060</xdr:rowOff>
    </xdr:to>
    <xdr:sp macro="" textlink="">
      <xdr:nvSpPr>
        <xdr:cNvPr id="111" name="Arc 219">
          <a:extLst>
            <a:ext uri="{FF2B5EF4-FFF2-40B4-BE49-F238E27FC236}">
              <a16:creationId xmlns:a16="http://schemas.microsoft.com/office/drawing/2014/main" id="{5E768E95-F72A-4E68-8432-257DE54EC7FB}"/>
            </a:ext>
          </a:extLst>
        </xdr:cNvPr>
        <xdr:cNvSpPr>
          <a:spLocks/>
        </xdr:cNvSpPr>
      </xdr:nvSpPr>
      <xdr:spPr bwMode="auto">
        <a:xfrm>
          <a:off x="377190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342900</xdr:colOff>
      <xdr:row>7</xdr:row>
      <xdr:rowOff>129540</xdr:rowOff>
    </xdr:from>
    <xdr:to>
      <xdr:col>6</xdr:col>
      <xdr:colOff>403860</xdr:colOff>
      <xdr:row>8</xdr:row>
      <xdr:rowOff>22860</xdr:rowOff>
    </xdr:to>
    <xdr:sp macro="" textlink="">
      <xdr:nvSpPr>
        <xdr:cNvPr id="112" name="Arc 220">
          <a:extLst>
            <a:ext uri="{FF2B5EF4-FFF2-40B4-BE49-F238E27FC236}">
              <a16:creationId xmlns:a16="http://schemas.microsoft.com/office/drawing/2014/main" id="{2AE6680C-32A1-4E03-BD59-B36D4DA86897}"/>
            </a:ext>
          </a:extLst>
        </xdr:cNvPr>
        <xdr:cNvSpPr>
          <a:spLocks/>
        </xdr:cNvSpPr>
      </xdr:nvSpPr>
      <xdr:spPr bwMode="auto">
        <a:xfrm>
          <a:off x="4091940" y="13335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335280</xdr:colOff>
      <xdr:row>6</xdr:row>
      <xdr:rowOff>38100</xdr:rowOff>
    </xdr:from>
    <xdr:to>
      <xdr:col>6</xdr:col>
      <xdr:colOff>396240</xdr:colOff>
      <xdr:row>6</xdr:row>
      <xdr:rowOff>99060</xdr:rowOff>
    </xdr:to>
    <xdr:sp macro="" textlink="">
      <xdr:nvSpPr>
        <xdr:cNvPr id="113" name="Arc 221">
          <a:extLst>
            <a:ext uri="{FF2B5EF4-FFF2-40B4-BE49-F238E27FC236}">
              <a16:creationId xmlns:a16="http://schemas.microsoft.com/office/drawing/2014/main" id="{50E05597-ABF4-44A6-9123-3CFD2C132F60}"/>
            </a:ext>
          </a:extLst>
        </xdr:cNvPr>
        <xdr:cNvSpPr>
          <a:spLocks/>
        </xdr:cNvSpPr>
      </xdr:nvSpPr>
      <xdr:spPr bwMode="auto">
        <a:xfrm>
          <a:off x="408432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22860</xdr:colOff>
      <xdr:row>7</xdr:row>
      <xdr:rowOff>129540</xdr:rowOff>
    </xdr:from>
    <xdr:to>
      <xdr:col>7</xdr:col>
      <xdr:colOff>76200</xdr:colOff>
      <xdr:row>8</xdr:row>
      <xdr:rowOff>22860</xdr:rowOff>
    </xdr:to>
    <xdr:sp macro="" textlink="">
      <xdr:nvSpPr>
        <xdr:cNvPr id="114" name="Arc 222">
          <a:extLst>
            <a:ext uri="{FF2B5EF4-FFF2-40B4-BE49-F238E27FC236}">
              <a16:creationId xmlns:a16="http://schemas.microsoft.com/office/drawing/2014/main" id="{F2F1FD2D-395E-4D66-BABA-CA59FDE4051A}"/>
            </a:ext>
          </a:extLst>
        </xdr:cNvPr>
        <xdr:cNvSpPr>
          <a:spLocks/>
        </xdr:cNvSpPr>
      </xdr:nvSpPr>
      <xdr:spPr bwMode="auto">
        <a:xfrm>
          <a:off x="4396740" y="133350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22860</xdr:colOff>
      <xdr:row>6</xdr:row>
      <xdr:rowOff>38100</xdr:rowOff>
    </xdr:from>
    <xdr:to>
      <xdr:col>7</xdr:col>
      <xdr:colOff>83820</xdr:colOff>
      <xdr:row>6</xdr:row>
      <xdr:rowOff>99060</xdr:rowOff>
    </xdr:to>
    <xdr:sp macro="" textlink="">
      <xdr:nvSpPr>
        <xdr:cNvPr id="115" name="Arc 223">
          <a:extLst>
            <a:ext uri="{FF2B5EF4-FFF2-40B4-BE49-F238E27FC236}">
              <a16:creationId xmlns:a16="http://schemas.microsoft.com/office/drawing/2014/main" id="{CF9827FD-82B5-44E2-B51B-01A0F7D4174F}"/>
            </a:ext>
          </a:extLst>
        </xdr:cNvPr>
        <xdr:cNvSpPr>
          <a:spLocks/>
        </xdr:cNvSpPr>
      </xdr:nvSpPr>
      <xdr:spPr bwMode="auto">
        <a:xfrm>
          <a:off x="439674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548640</xdr:colOff>
      <xdr:row>7</xdr:row>
      <xdr:rowOff>121920</xdr:rowOff>
    </xdr:from>
    <xdr:to>
      <xdr:col>7</xdr:col>
      <xdr:colOff>601980</xdr:colOff>
      <xdr:row>8</xdr:row>
      <xdr:rowOff>7620</xdr:rowOff>
    </xdr:to>
    <xdr:sp macro="" textlink="">
      <xdr:nvSpPr>
        <xdr:cNvPr id="116" name="Arc 224">
          <a:extLst>
            <a:ext uri="{FF2B5EF4-FFF2-40B4-BE49-F238E27FC236}">
              <a16:creationId xmlns:a16="http://schemas.microsoft.com/office/drawing/2014/main" id="{63051079-376B-4FFE-9AF9-698E022ACFBB}"/>
            </a:ext>
          </a:extLst>
        </xdr:cNvPr>
        <xdr:cNvSpPr>
          <a:spLocks/>
        </xdr:cNvSpPr>
      </xdr:nvSpPr>
      <xdr:spPr bwMode="auto">
        <a:xfrm>
          <a:off x="4922520" y="1325880"/>
          <a:ext cx="53340" cy="5334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281940</xdr:colOff>
      <xdr:row>7</xdr:row>
      <xdr:rowOff>129540</xdr:rowOff>
    </xdr:from>
    <xdr:to>
      <xdr:col>7</xdr:col>
      <xdr:colOff>342900</xdr:colOff>
      <xdr:row>8</xdr:row>
      <xdr:rowOff>22860</xdr:rowOff>
    </xdr:to>
    <xdr:sp macro="" textlink="">
      <xdr:nvSpPr>
        <xdr:cNvPr id="117" name="Arc 225">
          <a:extLst>
            <a:ext uri="{FF2B5EF4-FFF2-40B4-BE49-F238E27FC236}">
              <a16:creationId xmlns:a16="http://schemas.microsoft.com/office/drawing/2014/main" id="{AC797A0C-9DDA-4050-B9C4-010D2B9E2D55}"/>
            </a:ext>
          </a:extLst>
        </xdr:cNvPr>
        <xdr:cNvSpPr>
          <a:spLocks/>
        </xdr:cNvSpPr>
      </xdr:nvSpPr>
      <xdr:spPr bwMode="auto">
        <a:xfrm>
          <a:off x="4655820" y="13335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281940</xdr:colOff>
      <xdr:row>6</xdr:row>
      <xdr:rowOff>38100</xdr:rowOff>
    </xdr:from>
    <xdr:to>
      <xdr:col>7</xdr:col>
      <xdr:colOff>342900</xdr:colOff>
      <xdr:row>6</xdr:row>
      <xdr:rowOff>99060</xdr:rowOff>
    </xdr:to>
    <xdr:sp macro="" textlink="">
      <xdr:nvSpPr>
        <xdr:cNvPr id="118" name="Arc 226">
          <a:extLst>
            <a:ext uri="{FF2B5EF4-FFF2-40B4-BE49-F238E27FC236}">
              <a16:creationId xmlns:a16="http://schemas.microsoft.com/office/drawing/2014/main" id="{E7E41815-D91E-4C82-BA49-7C3374EBF5FB}"/>
            </a:ext>
          </a:extLst>
        </xdr:cNvPr>
        <xdr:cNvSpPr>
          <a:spLocks/>
        </xdr:cNvSpPr>
      </xdr:nvSpPr>
      <xdr:spPr bwMode="auto">
        <a:xfrm>
          <a:off x="4655820" y="10744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548640</xdr:colOff>
      <xdr:row>6</xdr:row>
      <xdr:rowOff>45720</xdr:rowOff>
    </xdr:from>
    <xdr:to>
      <xdr:col>7</xdr:col>
      <xdr:colOff>609600</xdr:colOff>
      <xdr:row>6</xdr:row>
      <xdr:rowOff>106680</xdr:rowOff>
    </xdr:to>
    <xdr:sp macro="" textlink="">
      <xdr:nvSpPr>
        <xdr:cNvPr id="119" name="Arc 227">
          <a:extLst>
            <a:ext uri="{FF2B5EF4-FFF2-40B4-BE49-F238E27FC236}">
              <a16:creationId xmlns:a16="http://schemas.microsoft.com/office/drawing/2014/main" id="{5D0A57AB-FEA6-490B-84EA-42953E528A25}"/>
            </a:ext>
          </a:extLst>
        </xdr:cNvPr>
        <xdr:cNvSpPr>
          <a:spLocks/>
        </xdr:cNvSpPr>
      </xdr:nvSpPr>
      <xdr:spPr bwMode="auto">
        <a:xfrm>
          <a:off x="4922520" y="10820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320040</xdr:colOff>
      <xdr:row>19</xdr:row>
      <xdr:rowOff>76200</xdr:rowOff>
    </xdr:from>
    <xdr:to>
      <xdr:col>3</xdr:col>
      <xdr:colOff>381000</xdr:colOff>
      <xdr:row>19</xdr:row>
      <xdr:rowOff>137160</xdr:rowOff>
    </xdr:to>
    <xdr:sp macro="" textlink="">
      <xdr:nvSpPr>
        <xdr:cNvPr id="120" name="Arc 228">
          <a:extLst>
            <a:ext uri="{FF2B5EF4-FFF2-40B4-BE49-F238E27FC236}">
              <a16:creationId xmlns:a16="http://schemas.microsoft.com/office/drawing/2014/main" id="{F4AB924A-41D0-4984-9010-07952F9D6449}"/>
            </a:ext>
          </a:extLst>
        </xdr:cNvPr>
        <xdr:cNvSpPr>
          <a:spLocks/>
        </xdr:cNvSpPr>
      </xdr:nvSpPr>
      <xdr:spPr bwMode="auto">
        <a:xfrm>
          <a:off x="2194560" y="32918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335280</xdr:colOff>
      <xdr:row>17</xdr:row>
      <xdr:rowOff>137160</xdr:rowOff>
    </xdr:from>
    <xdr:to>
      <xdr:col>3</xdr:col>
      <xdr:colOff>388620</xdr:colOff>
      <xdr:row>18</xdr:row>
      <xdr:rowOff>30480</xdr:rowOff>
    </xdr:to>
    <xdr:sp macro="" textlink="">
      <xdr:nvSpPr>
        <xdr:cNvPr id="121" name="Arc 229">
          <a:extLst>
            <a:ext uri="{FF2B5EF4-FFF2-40B4-BE49-F238E27FC236}">
              <a16:creationId xmlns:a16="http://schemas.microsoft.com/office/drawing/2014/main" id="{2B2E33D2-057F-4582-A434-ED365B569DD1}"/>
            </a:ext>
          </a:extLst>
        </xdr:cNvPr>
        <xdr:cNvSpPr>
          <a:spLocks/>
        </xdr:cNvSpPr>
      </xdr:nvSpPr>
      <xdr:spPr bwMode="auto">
        <a:xfrm>
          <a:off x="2209800" y="301752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7620</xdr:colOff>
      <xdr:row>19</xdr:row>
      <xdr:rowOff>68580</xdr:rowOff>
    </xdr:from>
    <xdr:to>
      <xdr:col>4</xdr:col>
      <xdr:colOff>68580</xdr:colOff>
      <xdr:row>19</xdr:row>
      <xdr:rowOff>129540</xdr:rowOff>
    </xdr:to>
    <xdr:sp macro="" textlink="">
      <xdr:nvSpPr>
        <xdr:cNvPr id="122" name="Arc 230">
          <a:extLst>
            <a:ext uri="{FF2B5EF4-FFF2-40B4-BE49-F238E27FC236}">
              <a16:creationId xmlns:a16="http://schemas.microsoft.com/office/drawing/2014/main" id="{7D18D6FE-D862-459A-87E6-351C9AF4D29B}"/>
            </a:ext>
          </a:extLst>
        </xdr:cNvPr>
        <xdr:cNvSpPr>
          <a:spLocks/>
        </xdr:cNvSpPr>
      </xdr:nvSpPr>
      <xdr:spPr bwMode="auto">
        <a:xfrm>
          <a:off x="2506980" y="32842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22860</xdr:colOff>
      <xdr:row>17</xdr:row>
      <xdr:rowOff>137160</xdr:rowOff>
    </xdr:from>
    <xdr:to>
      <xdr:col>4</xdr:col>
      <xdr:colOff>76200</xdr:colOff>
      <xdr:row>18</xdr:row>
      <xdr:rowOff>30480</xdr:rowOff>
    </xdr:to>
    <xdr:sp macro="" textlink="">
      <xdr:nvSpPr>
        <xdr:cNvPr id="123" name="Arc 231">
          <a:extLst>
            <a:ext uri="{FF2B5EF4-FFF2-40B4-BE49-F238E27FC236}">
              <a16:creationId xmlns:a16="http://schemas.microsoft.com/office/drawing/2014/main" id="{45A646CB-842D-4A43-9D7F-6FB971988B84}"/>
            </a:ext>
          </a:extLst>
        </xdr:cNvPr>
        <xdr:cNvSpPr>
          <a:spLocks/>
        </xdr:cNvSpPr>
      </xdr:nvSpPr>
      <xdr:spPr bwMode="auto">
        <a:xfrm>
          <a:off x="2522220" y="301752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335280</xdr:colOff>
      <xdr:row>19</xdr:row>
      <xdr:rowOff>76200</xdr:rowOff>
    </xdr:from>
    <xdr:to>
      <xdr:col>4</xdr:col>
      <xdr:colOff>396240</xdr:colOff>
      <xdr:row>19</xdr:row>
      <xdr:rowOff>137160</xdr:rowOff>
    </xdr:to>
    <xdr:sp macro="" textlink="">
      <xdr:nvSpPr>
        <xdr:cNvPr id="124" name="Arc 232">
          <a:extLst>
            <a:ext uri="{FF2B5EF4-FFF2-40B4-BE49-F238E27FC236}">
              <a16:creationId xmlns:a16="http://schemas.microsoft.com/office/drawing/2014/main" id="{F14F4D10-C53C-46D4-982F-3D598EB6F6DA}"/>
            </a:ext>
          </a:extLst>
        </xdr:cNvPr>
        <xdr:cNvSpPr>
          <a:spLocks/>
        </xdr:cNvSpPr>
      </xdr:nvSpPr>
      <xdr:spPr bwMode="auto">
        <a:xfrm>
          <a:off x="2834640" y="32918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335280</xdr:colOff>
      <xdr:row>17</xdr:row>
      <xdr:rowOff>137160</xdr:rowOff>
    </xdr:from>
    <xdr:to>
      <xdr:col>4</xdr:col>
      <xdr:colOff>388620</xdr:colOff>
      <xdr:row>18</xdr:row>
      <xdr:rowOff>30480</xdr:rowOff>
    </xdr:to>
    <xdr:sp macro="" textlink="">
      <xdr:nvSpPr>
        <xdr:cNvPr id="125" name="Arc 233">
          <a:extLst>
            <a:ext uri="{FF2B5EF4-FFF2-40B4-BE49-F238E27FC236}">
              <a16:creationId xmlns:a16="http://schemas.microsoft.com/office/drawing/2014/main" id="{0390A5E1-634B-4F8B-800C-E8C448119865}"/>
            </a:ext>
          </a:extLst>
        </xdr:cNvPr>
        <xdr:cNvSpPr>
          <a:spLocks/>
        </xdr:cNvSpPr>
      </xdr:nvSpPr>
      <xdr:spPr bwMode="auto">
        <a:xfrm>
          <a:off x="2834640" y="301752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22860</xdr:colOff>
      <xdr:row>19</xdr:row>
      <xdr:rowOff>76200</xdr:rowOff>
    </xdr:from>
    <xdr:to>
      <xdr:col>5</xdr:col>
      <xdr:colOff>83820</xdr:colOff>
      <xdr:row>19</xdr:row>
      <xdr:rowOff>137160</xdr:rowOff>
    </xdr:to>
    <xdr:sp macro="" textlink="">
      <xdr:nvSpPr>
        <xdr:cNvPr id="126" name="Arc 234">
          <a:extLst>
            <a:ext uri="{FF2B5EF4-FFF2-40B4-BE49-F238E27FC236}">
              <a16:creationId xmlns:a16="http://schemas.microsoft.com/office/drawing/2014/main" id="{C534D999-88A0-45DC-A03D-3FDE19D3A347}"/>
            </a:ext>
          </a:extLst>
        </xdr:cNvPr>
        <xdr:cNvSpPr>
          <a:spLocks/>
        </xdr:cNvSpPr>
      </xdr:nvSpPr>
      <xdr:spPr bwMode="auto">
        <a:xfrm>
          <a:off x="3147060" y="32918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22860</xdr:colOff>
      <xdr:row>17</xdr:row>
      <xdr:rowOff>144780</xdr:rowOff>
    </xdr:from>
    <xdr:to>
      <xdr:col>5</xdr:col>
      <xdr:colOff>76200</xdr:colOff>
      <xdr:row>18</xdr:row>
      <xdr:rowOff>38100</xdr:rowOff>
    </xdr:to>
    <xdr:sp macro="" textlink="">
      <xdr:nvSpPr>
        <xdr:cNvPr id="127" name="Arc 235">
          <a:extLst>
            <a:ext uri="{FF2B5EF4-FFF2-40B4-BE49-F238E27FC236}">
              <a16:creationId xmlns:a16="http://schemas.microsoft.com/office/drawing/2014/main" id="{3680F8B2-368C-4FB0-A3B5-68A984AD13A6}"/>
            </a:ext>
          </a:extLst>
        </xdr:cNvPr>
        <xdr:cNvSpPr>
          <a:spLocks/>
        </xdr:cNvSpPr>
      </xdr:nvSpPr>
      <xdr:spPr bwMode="auto">
        <a:xfrm>
          <a:off x="3147060" y="302514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342900</xdr:colOff>
      <xdr:row>19</xdr:row>
      <xdr:rowOff>76200</xdr:rowOff>
    </xdr:from>
    <xdr:to>
      <xdr:col>5</xdr:col>
      <xdr:colOff>403860</xdr:colOff>
      <xdr:row>19</xdr:row>
      <xdr:rowOff>137160</xdr:rowOff>
    </xdr:to>
    <xdr:sp macro="" textlink="">
      <xdr:nvSpPr>
        <xdr:cNvPr id="128" name="Arc 236">
          <a:extLst>
            <a:ext uri="{FF2B5EF4-FFF2-40B4-BE49-F238E27FC236}">
              <a16:creationId xmlns:a16="http://schemas.microsoft.com/office/drawing/2014/main" id="{A48D879F-3580-4143-B5D5-D5C6256F02BD}"/>
            </a:ext>
          </a:extLst>
        </xdr:cNvPr>
        <xdr:cNvSpPr>
          <a:spLocks/>
        </xdr:cNvSpPr>
      </xdr:nvSpPr>
      <xdr:spPr bwMode="auto">
        <a:xfrm>
          <a:off x="3467100" y="32918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335280</xdr:colOff>
      <xdr:row>17</xdr:row>
      <xdr:rowOff>137160</xdr:rowOff>
    </xdr:from>
    <xdr:to>
      <xdr:col>5</xdr:col>
      <xdr:colOff>388620</xdr:colOff>
      <xdr:row>18</xdr:row>
      <xdr:rowOff>30480</xdr:rowOff>
    </xdr:to>
    <xdr:sp macro="" textlink="">
      <xdr:nvSpPr>
        <xdr:cNvPr id="129" name="Arc 237">
          <a:extLst>
            <a:ext uri="{FF2B5EF4-FFF2-40B4-BE49-F238E27FC236}">
              <a16:creationId xmlns:a16="http://schemas.microsoft.com/office/drawing/2014/main" id="{CBD9E262-EA55-42C9-9B66-8D225F2D26A7}"/>
            </a:ext>
          </a:extLst>
        </xdr:cNvPr>
        <xdr:cNvSpPr>
          <a:spLocks/>
        </xdr:cNvSpPr>
      </xdr:nvSpPr>
      <xdr:spPr bwMode="auto">
        <a:xfrm>
          <a:off x="3459480" y="301752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30480</xdr:colOff>
      <xdr:row>19</xdr:row>
      <xdr:rowOff>76200</xdr:rowOff>
    </xdr:from>
    <xdr:to>
      <xdr:col>6</xdr:col>
      <xdr:colOff>91440</xdr:colOff>
      <xdr:row>19</xdr:row>
      <xdr:rowOff>137160</xdr:rowOff>
    </xdr:to>
    <xdr:sp macro="" textlink="">
      <xdr:nvSpPr>
        <xdr:cNvPr id="130" name="Arc 238">
          <a:extLst>
            <a:ext uri="{FF2B5EF4-FFF2-40B4-BE49-F238E27FC236}">
              <a16:creationId xmlns:a16="http://schemas.microsoft.com/office/drawing/2014/main" id="{DE35C62E-9ED5-4EF6-8099-E501DA94A92E}"/>
            </a:ext>
          </a:extLst>
        </xdr:cNvPr>
        <xdr:cNvSpPr>
          <a:spLocks/>
        </xdr:cNvSpPr>
      </xdr:nvSpPr>
      <xdr:spPr bwMode="auto">
        <a:xfrm>
          <a:off x="3779520" y="32918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38100</xdr:colOff>
      <xdr:row>17</xdr:row>
      <xdr:rowOff>144780</xdr:rowOff>
    </xdr:from>
    <xdr:to>
      <xdr:col>6</xdr:col>
      <xdr:colOff>99060</xdr:colOff>
      <xdr:row>18</xdr:row>
      <xdr:rowOff>38100</xdr:rowOff>
    </xdr:to>
    <xdr:sp macro="" textlink="">
      <xdr:nvSpPr>
        <xdr:cNvPr id="131" name="Arc 239">
          <a:extLst>
            <a:ext uri="{FF2B5EF4-FFF2-40B4-BE49-F238E27FC236}">
              <a16:creationId xmlns:a16="http://schemas.microsoft.com/office/drawing/2014/main" id="{04336313-A882-49C1-8875-5F8CAE47D53E}"/>
            </a:ext>
          </a:extLst>
        </xdr:cNvPr>
        <xdr:cNvSpPr>
          <a:spLocks/>
        </xdr:cNvSpPr>
      </xdr:nvSpPr>
      <xdr:spPr bwMode="auto">
        <a:xfrm>
          <a:off x="3787140" y="30251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358140</xdr:colOff>
      <xdr:row>19</xdr:row>
      <xdr:rowOff>91440</xdr:rowOff>
    </xdr:from>
    <xdr:to>
      <xdr:col>6</xdr:col>
      <xdr:colOff>419100</xdr:colOff>
      <xdr:row>19</xdr:row>
      <xdr:rowOff>152400</xdr:rowOff>
    </xdr:to>
    <xdr:sp macro="" textlink="">
      <xdr:nvSpPr>
        <xdr:cNvPr id="132" name="Arc 240">
          <a:extLst>
            <a:ext uri="{FF2B5EF4-FFF2-40B4-BE49-F238E27FC236}">
              <a16:creationId xmlns:a16="http://schemas.microsoft.com/office/drawing/2014/main" id="{51D4CD36-5615-454C-8258-21565F35481E}"/>
            </a:ext>
          </a:extLst>
        </xdr:cNvPr>
        <xdr:cNvSpPr>
          <a:spLocks/>
        </xdr:cNvSpPr>
      </xdr:nvSpPr>
      <xdr:spPr bwMode="auto">
        <a:xfrm>
          <a:off x="4107180" y="330708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350520</xdr:colOff>
      <xdr:row>17</xdr:row>
      <xdr:rowOff>137160</xdr:rowOff>
    </xdr:from>
    <xdr:to>
      <xdr:col>6</xdr:col>
      <xdr:colOff>411480</xdr:colOff>
      <xdr:row>18</xdr:row>
      <xdr:rowOff>30480</xdr:rowOff>
    </xdr:to>
    <xdr:sp macro="" textlink="">
      <xdr:nvSpPr>
        <xdr:cNvPr id="133" name="Arc 241">
          <a:extLst>
            <a:ext uri="{FF2B5EF4-FFF2-40B4-BE49-F238E27FC236}">
              <a16:creationId xmlns:a16="http://schemas.microsoft.com/office/drawing/2014/main" id="{12FDE940-B905-496C-9CFB-9D3FF482B88E}"/>
            </a:ext>
          </a:extLst>
        </xdr:cNvPr>
        <xdr:cNvSpPr>
          <a:spLocks/>
        </xdr:cNvSpPr>
      </xdr:nvSpPr>
      <xdr:spPr bwMode="auto">
        <a:xfrm>
          <a:off x="4099560" y="30175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22860</xdr:colOff>
      <xdr:row>19</xdr:row>
      <xdr:rowOff>76200</xdr:rowOff>
    </xdr:from>
    <xdr:to>
      <xdr:col>7</xdr:col>
      <xdr:colOff>83820</xdr:colOff>
      <xdr:row>19</xdr:row>
      <xdr:rowOff>137160</xdr:rowOff>
    </xdr:to>
    <xdr:sp macro="" textlink="">
      <xdr:nvSpPr>
        <xdr:cNvPr id="134" name="Arc 242">
          <a:extLst>
            <a:ext uri="{FF2B5EF4-FFF2-40B4-BE49-F238E27FC236}">
              <a16:creationId xmlns:a16="http://schemas.microsoft.com/office/drawing/2014/main" id="{44A4F544-B5A9-45E5-854D-B6A8EAEC8D77}"/>
            </a:ext>
          </a:extLst>
        </xdr:cNvPr>
        <xdr:cNvSpPr>
          <a:spLocks/>
        </xdr:cNvSpPr>
      </xdr:nvSpPr>
      <xdr:spPr bwMode="auto">
        <a:xfrm>
          <a:off x="4396740" y="32918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22860</xdr:colOff>
      <xdr:row>17</xdr:row>
      <xdr:rowOff>144780</xdr:rowOff>
    </xdr:from>
    <xdr:to>
      <xdr:col>7</xdr:col>
      <xdr:colOff>76200</xdr:colOff>
      <xdr:row>18</xdr:row>
      <xdr:rowOff>38100</xdr:rowOff>
    </xdr:to>
    <xdr:sp macro="" textlink="">
      <xdr:nvSpPr>
        <xdr:cNvPr id="135" name="Arc 243">
          <a:extLst>
            <a:ext uri="{FF2B5EF4-FFF2-40B4-BE49-F238E27FC236}">
              <a16:creationId xmlns:a16="http://schemas.microsoft.com/office/drawing/2014/main" id="{DB074B89-13D9-43A4-AA0E-31C5C9434848}"/>
            </a:ext>
          </a:extLst>
        </xdr:cNvPr>
        <xdr:cNvSpPr>
          <a:spLocks/>
        </xdr:cNvSpPr>
      </xdr:nvSpPr>
      <xdr:spPr bwMode="auto">
        <a:xfrm>
          <a:off x="4396740" y="3025140"/>
          <a:ext cx="5334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281940</xdr:colOff>
      <xdr:row>19</xdr:row>
      <xdr:rowOff>76200</xdr:rowOff>
    </xdr:from>
    <xdr:to>
      <xdr:col>7</xdr:col>
      <xdr:colOff>342900</xdr:colOff>
      <xdr:row>19</xdr:row>
      <xdr:rowOff>137160</xdr:rowOff>
    </xdr:to>
    <xdr:sp macro="" textlink="">
      <xdr:nvSpPr>
        <xdr:cNvPr id="136" name="Arc 244">
          <a:extLst>
            <a:ext uri="{FF2B5EF4-FFF2-40B4-BE49-F238E27FC236}">
              <a16:creationId xmlns:a16="http://schemas.microsoft.com/office/drawing/2014/main" id="{FFA87D93-80C2-4847-AF74-D26F8118532A}"/>
            </a:ext>
          </a:extLst>
        </xdr:cNvPr>
        <xdr:cNvSpPr>
          <a:spLocks/>
        </xdr:cNvSpPr>
      </xdr:nvSpPr>
      <xdr:spPr bwMode="auto">
        <a:xfrm>
          <a:off x="4655820" y="32918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518160</xdr:colOff>
      <xdr:row>19</xdr:row>
      <xdr:rowOff>68580</xdr:rowOff>
    </xdr:from>
    <xdr:to>
      <xdr:col>7</xdr:col>
      <xdr:colOff>579120</xdr:colOff>
      <xdr:row>19</xdr:row>
      <xdr:rowOff>129540</xdr:rowOff>
    </xdr:to>
    <xdr:sp macro="" textlink="">
      <xdr:nvSpPr>
        <xdr:cNvPr id="137" name="Arc 246">
          <a:extLst>
            <a:ext uri="{FF2B5EF4-FFF2-40B4-BE49-F238E27FC236}">
              <a16:creationId xmlns:a16="http://schemas.microsoft.com/office/drawing/2014/main" id="{94A904D9-31D4-4A70-8221-96DAA52B1F34}"/>
            </a:ext>
          </a:extLst>
        </xdr:cNvPr>
        <xdr:cNvSpPr>
          <a:spLocks/>
        </xdr:cNvSpPr>
      </xdr:nvSpPr>
      <xdr:spPr bwMode="auto">
        <a:xfrm>
          <a:off x="4892040" y="32842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274320</xdr:colOff>
      <xdr:row>17</xdr:row>
      <xdr:rowOff>144780</xdr:rowOff>
    </xdr:from>
    <xdr:to>
      <xdr:col>7</xdr:col>
      <xdr:colOff>335280</xdr:colOff>
      <xdr:row>18</xdr:row>
      <xdr:rowOff>38100</xdr:rowOff>
    </xdr:to>
    <xdr:sp macro="" textlink="">
      <xdr:nvSpPr>
        <xdr:cNvPr id="138" name="Arc 247">
          <a:extLst>
            <a:ext uri="{FF2B5EF4-FFF2-40B4-BE49-F238E27FC236}">
              <a16:creationId xmlns:a16="http://schemas.microsoft.com/office/drawing/2014/main" id="{4E0B9DD0-0147-4F24-842D-379FF3B10804}"/>
            </a:ext>
          </a:extLst>
        </xdr:cNvPr>
        <xdr:cNvSpPr>
          <a:spLocks/>
        </xdr:cNvSpPr>
      </xdr:nvSpPr>
      <xdr:spPr bwMode="auto">
        <a:xfrm>
          <a:off x="4648200" y="30251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533400</xdr:colOff>
      <xdr:row>17</xdr:row>
      <xdr:rowOff>144780</xdr:rowOff>
    </xdr:from>
    <xdr:to>
      <xdr:col>7</xdr:col>
      <xdr:colOff>594360</xdr:colOff>
      <xdr:row>18</xdr:row>
      <xdr:rowOff>38100</xdr:rowOff>
    </xdr:to>
    <xdr:sp macro="" textlink="">
      <xdr:nvSpPr>
        <xdr:cNvPr id="139" name="Arc 248">
          <a:extLst>
            <a:ext uri="{FF2B5EF4-FFF2-40B4-BE49-F238E27FC236}">
              <a16:creationId xmlns:a16="http://schemas.microsoft.com/office/drawing/2014/main" id="{BBE54F75-B519-44B8-9077-EDFC85BBBF14}"/>
            </a:ext>
          </a:extLst>
        </xdr:cNvPr>
        <xdr:cNvSpPr>
          <a:spLocks/>
        </xdr:cNvSpPr>
      </xdr:nvSpPr>
      <xdr:spPr bwMode="auto">
        <a:xfrm>
          <a:off x="4907280" y="30251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38100</xdr:colOff>
      <xdr:row>17</xdr:row>
      <xdr:rowOff>160020</xdr:rowOff>
    </xdr:from>
    <xdr:to>
      <xdr:col>2</xdr:col>
      <xdr:colOff>99060</xdr:colOff>
      <xdr:row>18</xdr:row>
      <xdr:rowOff>45720</xdr:rowOff>
    </xdr:to>
    <xdr:sp macro="" textlink="">
      <xdr:nvSpPr>
        <xdr:cNvPr id="140" name="Arc 249">
          <a:extLst>
            <a:ext uri="{FF2B5EF4-FFF2-40B4-BE49-F238E27FC236}">
              <a16:creationId xmlns:a16="http://schemas.microsoft.com/office/drawing/2014/main" id="{E8E547FB-1652-4821-A158-B546BC475A65}"/>
            </a:ext>
          </a:extLst>
        </xdr:cNvPr>
        <xdr:cNvSpPr>
          <a:spLocks/>
        </xdr:cNvSpPr>
      </xdr:nvSpPr>
      <xdr:spPr bwMode="auto">
        <a:xfrm>
          <a:off x="1287780" y="3040380"/>
          <a:ext cx="60960" cy="5334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22860</xdr:colOff>
      <xdr:row>19</xdr:row>
      <xdr:rowOff>68580</xdr:rowOff>
    </xdr:from>
    <xdr:to>
      <xdr:col>3</xdr:col>
      <xdr:colOff>83820</xdr:colOff>
      <xdr:row>19</xdr:row>
      <xdr:rowOff>129540</xdr:rowOff>
    </xdr:to>
    <xdr:sp macro="" textlink="">
      <xdr:nvSpPr>
        <xdr:cNvPr id="141" name="Arc 250">
          <a:extLst>
            <a:ext uri="{FF2B5EF4-FFF2-40B4-BE49-F238E27FC236}">
              <a16:creationId xmlns:a16="http://schemas.microsoft.com/office/drawing/2014/main" id="{C00F2708-FF7F-4BAD-B47B-11E79EB770D7}"/>
            </a:ext>
          </a:extLst>
        </xdr:cNvPr>
        <xdr:cNvSpPr>
          <a:spLocks/>
        </xdr:cNvSpPr>
      </xdr:nvSpPr>
      <xdr:spPr bwMode="auto">
        <a:xfrm>
          <a:off x="1897380" y="32842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281940</xdr:colOff>
      <xdr:row>9</xdr:row>
      <xdr:rowOff>22860</xdr:rowOff>
    </xdr:from>
    <xdr:to>
      <xdr:col>7</xdr:col>
      <xdr:colOff>342900</xdr:colOff>
      <xdr:row>9</xdr:row>
      <xdr:rowOff>83820</xdr:rowOff>
    </xdr:to>
    <xdr:sp macro="" textlink="">
      <xdr:nvSpPr>
        <xdr:cNvPr id="142" name="Arc 251">
          <a:extLst>
            <a:ext uri="{FF2B5EF4-FFF2-40B4-BE49-F238E27FC236}">
              <a16:creationId xmlns:a16="http://schemas.microsoft.com/office/drawing/2014/main" id="{1D212B8C-9771-4FED-A4EA-E1D66F0C36DD}"/>
            </a:ext>
          </a:extLst>
        </xdr:cNvPr>
        <xdr:cNvSpPr>
          <a:spLocks/>
        </xdr:cNvSpPr>
      </xdr:nvSpPr>
      <xdr:spPr bwMode="auto">
        <a:xfrm>
          <a:off x="4655820" y="15621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8</xdr:col>
      <xdr:colOff>0</xdr:colOff>
      <xdr:row>9</xdr:row>
      <xdr:rowOff>30480</xdr:rowOff>
    </xdr:from>
    <xdr:to>
      <xdr:col>8</xdr:col>
      <xdr:colOff>0</xdr:colOff>
      <xdr:row>9</xdr:row>
      <xdr:rowOff>91440</xdr:rowOff>
    </xdr:to>
    <xdr:sp macro="" textlink="">
      <xdr:nvSpPr>
        <xdr:cNvPr id="143" name="Arc 252">
          <a:extLst>
            <a:ext uri="{FF2B5EF4-FFF2-40B4-BE49-F238E27FC236}">
              <a16:creationId xmlns:a16="http://schemas.microsoft.com/office/drawing/2014/main" id="{A4A7360C-5F08-4EBE-869A-D530893B8D74}"/>
            </a:ext>
          </a:extLst>
        </xdr:cNvPr>
        <xdr:cNvSpPr>
          <a:spLocks/>
        </xdr:cNvSpPr>
      </xdr:nvSpPr>
      <xdr:spPr bwMode="auto">
        <a:xfrm>
          <a:off x="4998720" y="1569720"/>
          <a:ext cx="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281940</xdr:colOff>
      <xdr:row>10</xdr:row>
      <xdr:rowOff>144780</xdr:rowOff>
    </xdr:from>
    <xdr:to>
      <xdr:col>7</xdr:col>
      <xdr:colOff>342900</xdr:colOff>
      <xdr:row>11</xdr:row>
      <xdr:rowOff>38100</xdr:rowOff>
    </xdr:to>
    <xdr:sp macro="" textlink="">
      <xdr:nvSpPr>
        <xdr:cNvPr id="144" name="Arc 253">
          <a:extLst>
            <a:ext uri="{FF2B5EF4-FFF2-40B4-BE49-F238E27FC236}">
              <a16:creationId xmlns:a16="http://schemas.microsoft.com/office/drawing/2014/main" id="{6C0FC558-3642-4033-A9F0-B2B788C89AFD}"/>
            </a:ext>
          </a:extLst>
        </xdr:cNvPr>
        <xdr:cNvSpPr>
          <a:spLocks/>
        </xdr:cNvSpPr>
      </xdr:nvSpPr>
      <xdr:spPr bwMode="auto">
        <a:xfrm>
          <a:off x="4655820" y="185166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533400</xdr:colOff>
      <xdr:row>10</xdr:row>
      <xdr:rowOff>144780</xdr:rowOff>
    </xdr:from>
    <xdr:to>
      <xdr:col>7</xdr:col>
      <xdr:colOff>594360</xdr:colOff>
      <xdr:row>11</xdr:row>
      <xdr:rowOff>38100</xdr:rowOff>
    </xdr:to>
    <xdr:sp macro="" textlink="">
      <xdr:nvSpPr>
        <xdr:cNvPr id="145" name="Arc 254">
          <a:extLst>
            <a:ext uri="{FF2B5EF4-FFF2-40B4-BE49-F238E27FC236}">
              <a16:creationId xmlns:a16="http://schemas.microsoft.com/office/drawing/2014/main" id="{B70723F6-749E-41AF-B458-66B1E09C5736}"/>
            </a:ext>
          </a:extLst>
        </xdr:cNvPr>
        <xdr:cNvSpPr>
          <a:spLocks/>
        </xdr:cNvSpPr>
      </xdr:nvSpPr>
      <xdr:spPr bwMode="auto">
        <a:xfrm>
          <a:off x="4907280" y="185166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281940</xdr:colOff>
      <xdr:row>12</xdr:row>
      <xdr:rowOff>121920</xdr:rowOff>
    </xdr:from>
    <xdr:to>
      <xdr:col>7</xdr:col>
      <xdr:colOff>342900</xdr:colOff>
      <xdr:row>13</xdr:row>
      <xdr:rowOff>7620</xdr:rowOff>
    </xdr:to>
    <xdr:sp macro="" textlink="">
      <xdr:nvSpPr>
        <xdr:cNvPr id="146" name="Arc 255">
          <a:extLst>
            <a:ext uri="{FF2B5EF4-FFF2-40B4-BE49-F238E27FC236}">
              <a16:creationId xmlns:a16="http://schemas.microsoft.com/office/drawing/2014/main" id="{C4E7F927-BD95-48E2-9A2D-C41ECB1A829D}"/>
            </a:ext>
          </a:extLst>
        </xdr:cNvPr>
        <xdr:cNvSpPr>
          <a:spLocks/>
        </xdr:cNvSpPr>
      </xdr:nvSpPr>
      <xdr:spPr bwMode="auto">
        <a:xfrm>
          <a:off x="4655820" y="2164080"/>
          <a:ext cx="60960" cy="5334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525780</xdr:colOff>
      <xdr:row>12</xdr:row>
      <xdr:rowOff>129540</xdr:rowOff>
    </xdr:from>
    <xdr:to>
      <xdr:col>7</xdr:col>
      <xdr:colOff>586740</xdr:colOff>
      <xdr:row>13</xdr:row>
      <xdr:rowOff>22860</xdr:rowOff>
    </xdr:to>
    <xdr:sp macro="" textlink="">
      <xdr:nvSpPr>
        <xdr:cNvPr id="147" name="Arc 256">
          <a:extLst>
            <a:ext uri="{FF2B5EF4-FFF2-40B4-BE49-F238E27FC236}">
              <a16:creationId xmlns:a16="http://schemas.microsoft.com/office/drawing/2014/main" id="{37F75313-868B-45C4-A01E-B1934FF1BF0E}"/>
            </a:ext>
          </a:extLst>
        </xdr:cNvPr>
        <xdr:cNvSpPr>
          <a:spLocks/>
        </xdr:cNvSpPr>
      </xdr:nvSpPr>
      <xdr:spPr bwMode="auto">
        <a:xfrm>
          <a:off x="4899660" y="21717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274320</xdr:colOff>
      <xdr:row>14</xdr:row>
      <xdr:rowOff>99060</xdr:rowOff>
    </xdr:from>
    <xdr:to>
      <xdr:col>7</xdr:col>
      <xdr:colOff>335280</xdr:colOff>
      <xdr:row>14</xdr:row>
      <xdr:rowOff>160020</xdr:rowOff>
    </xdr:to>
    <xdr:sp macro="" textlink="">
      <xdr:nvSpPr>
        <xdr:cNvPr id="148" name="Arc 257">
          <a:extLst>
            <a:ext uri="{FF2B5EF4-FFF2-40B4-BE49-F238E27FC236}">
              <a16:creationId xmlns:a16="http://schemas.microsoft.com/office/drawing/2014/main" id="{AEE0CAA0-F644-423B-B20A-837A625571D9}"/>
            </a:ext>
          </a:extLst>
        </xdr:cNvPr>
        <xdr:cNvSpPr>
          <a:spLocks/>
        </xdr:cNvSpPr>
      </xdr:nvSpPr>
      <xdr:spPr bwMode="auto">
        <a:xfrm>
          <a:off x="4648200" y="24765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525780</xdr:colOff>
      <xdr:row>14</xdr:row>
      <xdr:rowOff>121920</xdr:rowOff>
    </xdr:from>
    <xdr:to>
      <xdr:col>7</xdr:col>
      <xdr:colOff>586740</xdr:colOff>
      <xdr:row>15</xdr:row>
      <xdr:rowOff>7620</xdr:rowOff>
    </xdr:to>
    <xdr:sp macro="" textlink="">
      <xdr:nvSpPr>
        <xdr:cNvPr id="149" name="Arc 258">
          <a:extLst>
            <a:ext uri="{FF2B5EF4-FFF2-40B4-BE49-F238E27FC236}">
              <a16:creationId xmlns:a16="http://schemas.microsoft.com/office/drawing/2014/main" id="{26B6516C-1F36-4495-9646-B271D410BC23}"/>
            </a:ext>
          </a:extLst>
        </xdr:cNvPr>
        <xdr:cNvSpPr>
          <a:spLocks/>
        </xdr:cNvSpPr>
      </xdr:nvSpPr>
      <xdr:spPr bwMode="auto">
        <a:xfrm>
          <a:off x="4899660" y="2499360"/>
          <a:ext cx="60960" cy="5334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281940</xdr:colOff>
      <xdr:row>16</xdr:row>
      <xdr:rowOff>99060</xdr:rowOff>
    </xdr:from>
    <xdr:to>
      <xdr:col>7</xdr:col>
      <xdr:colOff>342900</xdr:colOff>
      <xdr:row>16</xdr:row>
      <xdr:rowOff>160020</xdr:rowOff>
    </xdr:to>
    <xdr:sp macro="" textlink="">
      <xdr:nvSpPr>
        <xdr:cNvPr id="150" name="Arc 259">
          <a:extLst>
            <a:ext uri="{FF2B5EF4-FFF2-40B4-BE49-F238E27FC236}">
              <a16:creationId xmlns:a16="http://schemas.microsoft.com/office/drawing/2014/main" id="{64A05198-3DA1-4A1A-B4E5-8ACB6BA136FD}"/>
            </a:ext>
          </a:extLst>
        </xdr:cNvPr>
        <xdr:cNvSpPr>
          <a:spLocks/>
        </xdr:cNvSpPr>
      </xdr:nvSpPr>
      <xdr:spPr bwMode="auto">
        <a:xfrm>
          <a:off x="4655820" y="281178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525780</xdr:colOff>
      <xdr:row>16</xdr:row>
      <xdr:rowOff>106680</xdr:rowOff>
    </xdr:from>
    <xdr:to>
      <xdr:col>7</xdr:col>
      <xdr:colOff>586740</xdr:colOff>
      <xdr:row>17</xdr:row>
      <xdr:rowOff>0</xdr:rowOff>
    </xdr:to>
    <xdr:sp macro="" textlink="">
      <xdr:nvSpPr>
        <xdr:cNvPr id="151" name="Arc 260">
          <a:extLst>
            <a:ext uri="{FF2B5EF4-FFF2-40B4-BE49-F238E27FC236}">
              <a16:creationId xmlns:a16="http://schemas.microsoft.com/office/drawing/2014/main" id="{D3DCFB89-9F8A-496E-9DB4-C6C85F3A0981}"/>
            </a:ext>
          </a:extLst>
        </xdr:cNvPr>
        <xdr:cNvSpPr>
          <a:spLocks/>
        </xdr:cNvSpPr>
      </xdr:nvSpPr>
      <xdr:spPr bwMode="auto">
        <a:xfrm>
          <a:off x="4899660" y="28194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8</xdr:col>
      <xdr:colOff>304800</xdr:colOff>
      <xdr:row>13</xdr:row>
      <xdr:rowOff>76200</xdr:rowOff>
    </xdr:from>
    <xdr:to>
      <xdr:col>8</xdr:col>
      <xdr:colOff>304800</xdr:colOff>
      <xdr:row>17</xdr:row>
      <xdr:rowOff>91440</xdr:rowOff>
    </xdr:to>
    <xdr:sp macro="" textlink="">
      <xdr:nvSpPr>
        <xdr:cNvPr id="173" name="Line 428">
          <a:extLst>
            <a:ext uri="{FF2B5EF4-FFF2-40B4-BE49-F238E27FC236}">
              <a16:creationId xmlns:a16="http://schemas.microsoft.com/office/drawing/2014/main" id="{23A3844B-B55F-4FC8-A344-1380496D57A1}"/>
            </a:ext>
          </a:extLst>
        </xdr:cNvPr>
        <xdr:cNvSpPr>
          <a:spLocks noChangeShapeType="1"/>
        </xdr:cNvSpPr>
      </xdr:nvSpPr>
      <xdr:spPr bwMode="auto">
        <a:xfrm>
          <a:off x="5303520" y="2286000"/>
          <a:ext cx="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190500</xdr:colOff>
      <xdr:row>20</xdr:row>
      <xdr:rowOff>22860</xdr:rowOff>
    </xdr:from>
    <xdr:to>
      <xdr:col>8</xdr:col>
      <xdr:colOff>434340</xdr:colOff>
      <xdr:row>20</xdr:row>
      <xdr:rowOff>22860</xdr:rowOff>
    </xdr:to>
    <xdr:sp macro="" textlink="">
      <xdr:nvSpPr>
        <xdr:cNvPr id="174" name="Line 429">
          <a:extLst>
            <a:ext uri="{FF2B5EF4-FFF2-40B4-BE49-F238E27FC236}">
              <a16:creationId xmlns:a16="http://schemas.microsoft.com/office/drawing/2014/main" id="{14119C25-6515-46CF-A679-CD42279371AC}"/>
            </a:ext>
          </a:extLst>
        </xdr:cNvPr>
        <xdr:cNvSpPr>
          <a:spLocks noChangeShapeType="1"/>
        </xdr:cNvSpPr>
      </xdr:nvSpPr>
      <xdr:spPr bwMode="auto">
        <a:xfrm>
          <a:off x="5189220" y="3406140"/>
          <a:ext cx="2438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198120</xdr:colOff>
      <xdr:row>5</xdr:row>
      <xdr:rowOff>144780</xdr:rowOff>
    </xdr:from>
    <xdr:to>
      <xdr:col>8</xdr:col>
      <xdr:colOff>457200</xdr:colOff>
      <xdr:row>5</xdr:row>
      <xdr:rowOff>144780</xdr:rowOff>
    </xdr:to>
    <xdr:sp macro="" textlink="">
      <xdr:nvSpPr>
        <xdr:cNvPr id="175" name="Line 430">
          <a:extLst>
            <a:ext uri="{FF2B5EF4-FFF2-40B4-BE49-F238E27FC236}">
              <a16:creationId xmlns:a16="http://schemas.microsoft.com/office/drawing/2014/main" id="{0A5A204B-BF6B-4348-8DC5-19C21DA07F4D}"/>
            </a:ext>
          </a:extLst>
        </xdr:cNvPr>
        <xdr:cNvSpPr>
          <a:spLocks noChangeShapeType="1"/>
        </xdr:cNvSpPr>
      </xdr:nvSpPr>
      <xdr:spPr bwMode="auto">
        <a:xfrm>
          <a:off x="5196840" y="1013460"/>
          <a:ext cx="2590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304800</xdr:colOff>
      <xdr:row>8</xdr:row>
      <xdr:rowOff>45720</xdr:rowOff>
    </xdr:from>
    <xdr:to>
      <xdr:col>8</xdr:col>
      <xdr:colOff>304800</xdr:colOff>
      <xdr:row>11</xdr:row>
      <xdr:rowOff>137160</xdr:rowOff>
    </xdr:to>
    <xdr:sp macro="" textlink="">
      <xdr:nvSpPr>
        <xdr:cNvPr id="176" name="Line 431">
          <a:extLst>
            <a:ext uri="{FF2B5EF4-FFF2-40B4-BE49-F238E27FC236}">
              <a16:creationId xmlns:a16="http://schemas.microsoft.com/office/drawing/2014/main" id="{DF1A2E29-ADF0-402D-AF27-DA729F6E381F}"/>
            </a:ext>
          </a:extLst>
        </xdr:cNvPr>
        <xdr:cNvSpPr>
          <a:spLocks noChangeShapeType="1"/>
        </xdr:cNvSpPr>
      </xdr:nvSpPr>
      <xdr:spPr bwMode="auto">
        <a:xfrm flipV="1">
          <a:off x="5303520" y="1417320"/>
          <a:ext cx="0" cy="5943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205740</xdr:colOff>
      <xdr:row>8</xdr:row>
      <xdr:rowOff>45720</xdr:rowOff>
    </xdr:from>
    <xdr:to>
      <xdr:col>8</xdr:col>
      <xdr:colOff>434340</xdr:colOff>
      <xdr:row>8</xdr:row>
      <xdr:rowOff>45720</xdr:rowOff>
    </xdr:to>
    <xdr:sp macro="" textlink="">
      <xdr:nvSpPr>
        <xdr:cNvPr id="177" name="Line 433">
          <a:extLst>
            <a:ext uri="{FF2B5EF4-FFF2-40B4-BE49-F238E27FC236}">
              <a16:creationId xmlns:a16="http://schemas.microsoft.com/office/drawing/2014/main" id="{907D1146-5A49-4E87-AA27-B30698EA56F7}"/>
            </a:ext>
          </a:extLst>
        </xdr:cNvPr>
        <xdr:cNvSpPr>
          <a:spLocks noChangeShapeType="1"/>
        </xdr:cNvSpPr>
      </xdr:nvSpPr>
      <xdr:spPr bwMode="auto">
        <a:xfrm>
          <a:off x="5204460" y="1417320"/>
          <a:ext cx="228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144780</xdr:colOff>
      <xdr:row>17</xdr:row>
      <xdr:rowOff>99060</xdr:rowOff>
    </xdr:from>
    <xdr:to>
      <xdr:col>8</xdr:col>
      <xdr:colOff>457200</xdr:colOff>
      <xdr:row>17</xdr:row>
      <xdr:rowOff>99060</xdr:rowOff>
    </xdr:to>
    <xdr:sp macro="" textlink="">
      <xdr:nvSpPr>
        <xdr:cNvPr id="178" name="Line 434">
          <a:extLst>
            <a:ext uri="{FF2B5EF4-FFF2-40B4-BE49-F238E27FC236}">
              <a16:creationId xmlns:a16="http://schemas.microsoft.com/office/drawing/2014/main" id="{6357C305-DA7A-4225-9148-986BB2329B21}"/>
            </a:ext>
          </a:extLst>
        </xdr:cNvPr>
        <xdr:cNvSpPr>
          <a:spLocks noChangeShapeType="1"/>
        </xdr:cNvSpPr>
      </xdr:nvSpPr>
      <xdr:spPr bwMode="auto">
        <a:xfrm>
          <a:off x="5143500" y="2979420"/>
          <a:ext cx="3124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312420</xdr:colOff>
      <xdr:row>20</xdr:row>
      <xdr:rowOff>0</xdr:rowOff>
    </xdr:from>
    <xdr:to>
      <xdr:col>8</xdr:col>
      <xdr:colOff>312420</xdr:colOff>
      <xdr:row>21</xdr:row>
      <xdr:rowOff>144780</xdr:rowOff>
    </xdr:to>
    <xdr:sp macro="" textlink="">
      <xdr:nvSpPr>
        <xdr:cNvPr id="179" name="Line 457">
          <a:extLst>
            <a:ext uri="{FF2B5EF4-FFF2-40B4-BE49-F238E27FC236}">
              <a16:creationId xmlns:a16="http://schemas.microsoft.com/office/drawing/2014/main" id="{13227143-ABA1-4B90-87D1-8AB33CB46E1F}"/>
            </a:ext>
          </a:extLst>
        </xdr:cNvPr>
        <xdr:cNvSpPr>
          <a:spLocks noChangeShapeType="1"/>
        </xdr:cNvSpPr>
      </xdr:nvSpPr>
      <xdr:spPr bwMode="auto">
        <a:xfrm flipV="1">
          <a:off x="5311140" y="3383280"/>
          <a:ext cx="0" cy="3124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335280</xdr:colOff>
      <xdr:row>5</xdr:row>
      <xdr:rowOff>0</xdr:rowOff>
    </xdr:from>
    <xdr:to>
      <xdr:col>8</xdr:col>
      <xdr:colOff>335280</xdr:colOff>
      <xdr:row>5</xdr:row>
      <xdr:rowOff>137160</xdr:rowOff>
    </xdr:to>
    <xdr:sp macro="" textlink="">
      <xdr:nvSpPr>
        <xdr:cNvPr id="180" name="Line 458">
          <a:extLst>
            <a:ext uri="{FF2B5EF4-FFF2-40B4-BE49-F238E27FC236}">
              <a16:creationId xmlns:a16="http://schemas.microsoft.com/office/drawing/2014/main" id="{73FB9BB1-3713-4F3A-856F-E21F750A735D}"/>
            </a:ext>
          </a:extLst>
        </xdr:cNvPr>
        <xdr:cNvSpPr>
          <a:spLocks noChangeShapeType="1"/>
        </xdr:cNvSpPr>
      </xdr:nvSpPr>
      <xdr:spPr bwMode="auto">
        <a:xfrm>
          <a:off x="5334000" y="868680"/>
          <a:ext cx="0" cy="1371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266700</xdr:colOff>
      <xdr:row>21</xdr:row>
      <xdr:rowOff>129540</xdr:rowOff>
    </xdr:from>
    <xdr:to>
      <xdr:col>7</xdr:col>
      <xdr:colOff>266700</xdr:colOff>
      <xdr:row>23</xdr:row>
      <xdr:rowOff>68580</xdr:rowOff>
    </xdr:to>
    <xdr:sp macro="" textlink="">
      <xdr:nvSpPr>
        <xdr:cNvPr id="181" name="Line 465">
          <a:extLst>
            <a:ext uri="{FF2B5EF4-FFF2-40B4-BE49-F238E27FC236}">
              <a16:creationId xmlns:a16="http://schemas.microsoft.com/office/drawing/2014/main" id="{07991612-A26F-41DB-8D02-1B5C66A11EE0}"/>
            </a:ext>
          </a:extLst>
        </xdr:cNvPr>
        <xdr:cNvSpPr>
          <a:spLocks noChangeShapeType="1"/>
        </xdr:cNvSpPr>
      </xdr:nvSpPr>
      <xdr:spPr bwMode="auto">
        <a:xfrm flipH="1">
          <a:off x="4640580" y="3680460"/>
          <a:ext cx="0" cy="2743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518160</xdr:colOff>
      <xdr:row>6</xdr:row>
      <xdr:rowOff>68580</xdr:rowOff>
    </xdr:from>
    <xdr:to>
      <xdr:col>7</xdr:col>
      <xdr:colOff>518160</xdr:colOff>
      <xdr:row>19</xdr:row>
      <xdr:rowOff>76200</xdr:rowOff>
    </xdr:to>
    <xdr:sp macro="" textlink="">
      <xdr:nvSpPr>
        <xdr:cNvPr id="182" name="Line 474">
          <a:extLst>
            <a:ext uri="{FF2B5EF4-FFF2-40B4-BE49-F238E27FC236}">
              <a16:creationId xmlns:a16="http://schemas.microsoft.com/office/drawing/2014/main" id="{D752C983-72B9-4596-B4C8-46ADB4505267}"/>
            </a:ext>
          </a:extLst>
        </xdr:cNvPr>
        <xdr:cNvSpPr>
          <a:spLocks noChangeShapeType="1"/>
        </xdr:cNvSpPr>
      </xdr:nvSpPr>
      <xdr:spPr bwMode="auto">
        <a:xfrm>
          <a:off x="4892040" y="1104900"/>
          <a:ext cx="0" cy="218694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533400</xdr:colOff>
      <xdr:row>9</xdr:row>
      <xdr:rowOff>30480</xdr:rowOff>
    </xdr:from>
    <xdr:to>
      <xdr:col>7</xdr:col>
      <xdr:colOff>594360</xdr:colOff>
      <xdr:row>9</xdr:row>
      <xdr:rowOff>91440</xdr:rowOff>
    </xdr:to>
    <xdr:sp macro="" textlink="">
      <xdr:nvSpPr>
        <xdr:cNvPr id="183" name="Arc 475">
          <a:extLst>
            <a:ext uri="{FF2B5EF4-FFF2-40B4-BE49-F238E27FC236}">
              <a16:creationId xmlns:a16="http://schemas.microsoft.com/office/drawing/2014/main" id="{DB3F05FD-6C72-4FB8-9B7C-63D1851642E9}"/>
            </a:ext>
          </a:extLst>
        </xdr:cNvPr>
        <xdr:cNvSpPr>
          <a:spLocks/>
        </xdr:cNvSpPr>
      </xdr:nvSpPr>
      <xdr:spPr bwMode="auto">
        <a:xfrm>
          <a:off x="4907280" y="156972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205740</xdr:colOff>
      <xdr:row>5</xdr:row>
      <xdr:rowOff>22860</xdr:rowOff>
    </xdr:from>
    <xdr:to>
      <xdr:col>2</xdr:col>
      <xdr:colOff>312420</xdr:colOff>
      <xdr:row>6</xdr:row>
      <xdr:rowOff>45720</xdr:rowOff>
    </xdr:to>
    <xdr:sp macro="" textlink="">
      <xdr:nvSpPr>
        <xdr:cNvPr id="186" name="Line 484">
          <a:extLst>
            <a:ext uri="{FF2B5EF4-FFF2-40B4-BE49-F238E27FC236}">
              <a16:creationId xmlns:a16="http://schemas.microsoft.com/office/drawing/2014/main" id="{61F3408A-DDEA-450E-A3DC-B858EA0F2AF5}"/>
            </a:ext>
          </a:extLst>
        </xdr:cNvPr>
        <xdr:cNvSpPr>
          <a:spLocks noChangeShapeType="1"/>
        </xdr:cNvSpPr>
      </xdr:nvSpPr>
      <xdr:spPr bwMode="auto">
        <a:xfrm>
          <a:off x="3299460" y="952500"/>
          <a:ext cx="106680" cy="20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259080</xdr:colOff>
      <xdr:row>4</xdr:row>
      <xdr:rowOff>167640</xdr:rowOff>
    </xdr:from>
    <xdr:to>
      <xdr:col>5</xdr:col>
      <xdr:colOff>617220</xdr:colOff>
      <xdr:row>4</xdr:row>
      <xdr:rowOff>167640</xdr:rowOff>
    </xdr:to>
    <xdr:sp macro="" textlink="">
      <xdr:nvSpPr>
        <xdr:cNvPr id="187" name="Line 486">
          <a:extLst>
            <a:ext uri="{FF2B5EF4-FFF2-40B4-BE49-F238E27FC236}">
              <a16:creationId xmlns:a16="http://schemas.microsoft.com/office/drawing/2014/main" id="{F7D1DD8B-9958-48BC-AF27-CCC567084060}"/>
            </a:ext>
          </a:extLst>
        </xdr:cNvPr>
        <xdr:cNvSpPr>
          <a:spLocks noChangeShapeType="1"/>
        </xdr:cNvSpPr>
      </xdr:nvSpPr>
      <xdr:spPr bwMode="auto">
        <a:xfrm>
          <a:off x="3352800" y="914400"/>
          <a:ext cx="22326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289560</xdr:colOff>
      <xdr:row>9</xdr:row>
      <xdr:rowOff>60960</xdr:rowOff>
    </xdr:from>
    <xdr:to>
      <xdr:col>2</xdr:col>
      <xdr:colOff>350520</xdr:colOff>
      <xdr:row>9</xdr:row>
      <xdr:rowOff>121920</xdr:rowOff>
    </xdr:to>
    <xdr:sp macro="" textlink="">
      <xdr:nvSpPr>
        <xdr:cNvPr id="188" name="Arc 487">
          <a:extLst>
            <a:ext uri="{FF2B5EF4-FFF2-40B4-BE49-F238E27FC236}">
              <a16:creationId xmlns:a16="http://schemas.microsoft.com/office/drawing/2014/main" id="{BABD51C0-B110-4BBE-87A1-0EC0901C9284}"/>
            </a:ext>
          </a:extLst>
        </xdr:cNvPr>
        <xdr:cNvSpPr>
          <a:spLocks/>
        </xdr:cNvSpPr>
      </xdr:nvSpPr>
      <xdr:spPr bwMode="auto">
        <a:xfrm>
          <a:off x="1539240" y="160020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38100</xdr:colOff>
      <xdr:row>9</xdr:row>
      <xdr:rowOff>38100</xdr:rowOff>
    </xdr:from>
    <xdr:to>
      <xdr:col>2</xdr:col>
      <xdr:colOff>99060</xdr:colOff>
      <xdr:row>9</xdr:row>
      <xdr:rowOff>99060</xdr:rowOff>
    </xdr:to>
    <xdr:sp macro="" textlink="">
      <xdr:nvSpPr>
        <xdr:cNvPr id="189" name="Arc 488">
          <a:extLst>
            <a:ext uri="{FF2B5EF4-FFF2-40B4-BE49-F238E27FC236}">
              <a16:creationId xmlns:a16="http://schemas.microsoft.com/office/drawing/2014/main" id="{A10BAE0D-882E-490D-AD3E-9B376F7B1F9E}"/>
            </a:ext>
          </a:extLst>
        </xdr:cNvPr>
        <xdr:cNvSpPr>
          <a:spLocks/>
        </xdr:cNvSpPr>
      </xdr:nvSpPr>
      <xdr:spPr bwMode="auto">
        <a:xfrm>
          <a:off x="1287780" y="1577340"/>
          <a:ext cx="60960" cy="60960"/>
        </a:xfrm>
        <a:custGeom>
          <a:avLst/>
          <a:gdLst>
            <a:gd name="G0" fmla="+- 21600 0 0"/>
            <a:gd name="G1" fmla="+- 21600 0 0"/>
            <a:gd name="G2" fmla="+- 21600 0 0"/>
            <a:gd name="T0" fmla="*/ 21600 w 43200"/>
            <a:gd name="T1" fmla="*/ 0 h 43200"/>
            <a:gd name="T2" fmla="*/ 19429 w 43200"/>
            <a:gd name="T3" fmla="*/ 109 h 43200"/>
            <a:gd name="T4" fmla="*/ 21600 w 43200"/>
            <a:gd name="T5" fmla="*/ 21600 h 43200"/>
          </a:gdLst>
          <a:ahLst/>
          <a:cxnLst>
            <a:cxn ang="0">
              <a:pos x="T0" y="T1"/>
            </a:cxn>
            <a:cxn ang="0">
              <a:pos x="T2" y="T3"/>
            </a:cxn>
            <a:cxn ang="0">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175260</xdr:colOff>
      <xdr:row>9</xdr:row>
      <xdr:rowOff>160020</xdr:rowOff>
    </xdr:from>
    <xdr:to>
      <xdr:col>6</xdr:col>
      <xdr:colOff>510540</xdr:colOff>
      <xdr:row>9</xdr:row>
      <xdr:rowOff>160020</xdr:rowOff>
    </xdr:to>
    <xdr:sp macro="" textlink="">
      <xdr:nvSpPr>
        <xdr:cNvPr id="190" name="Line 489">
          <a:extLst>
            <a:ext uri="{FF2B5EF4-FFF2-40B4-BE49-F238E27FC236}">
              <a16:creationId xmlns:a16="http://schemas.microsoft.com/office/drawing/2014/main" id="{62941D8D-4ACA-4138-8137-5F4BB20D915D}"/>
            </a:ext>
          </a:extLst>
        </xdr:cNvPr>
        <xdr:cNvSpPr>
          <a:spLocks noChangeShapeType="1"/>
        </xdr:cNvSpPr>
      </xdr:nvSpPr>
      <xdr:spPr bwMode="auto">
        <a:xfrm flipH="1">
          <a:off x="2049780" y="1699260"/>
          <a:ext cx="2209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167640</xdr:colOff>
      <xdr:row>8</xdr:row>
      <xdr:rowOff>0</xdr:rowOff>
    </xdr:from>
    <xdr:to>
      <xdr:col>3</xdr:col>
      <xdr:colOff>358140</xdr:colOff>
      <xdr:row>9</xdr:row>
      <xdr:rowOff>160020</xdr:rowOff>
    </xdr:to>
    <xdr:sp macro="" textlink="">
      <xdr:nvSpPr>
        <xdr:cNvPr id="191" name="Line 490">
          <a:extLst>
            <a:ext uri="{FF2B5EF4-FFF2-40B4-BE49-F238E27FC236}">
              <a16:creationId xmlns:a16="http://schemas.microsoft.com/office/drawing/2014/main" id="{B8F2838A-0753-499F-A2FA-172DEBBB5D67}"/>
            </a:ext>
          </a:extLst>
        </xdr:cNvPr>
        <xdr:cNvSpPr>
          <a:spLocks noChangeShapeType="1"/>
        </xdr:cNvSpPr>
      </xdr:nvSpPr>
      <xdr:spPr bwMode="auto">
        <a:xfrm flipV="1">
          <a:off x="2042160" y="1371600"/>
          <a:ext cx="190500" cy="3276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175260</xdr:colOff>
      <xdr:row>6</xdr:row>
      <xdr:rowOff>76200</xdr:rowOff>
    </xdr:from>
    <xdr:to>
      <xdr:col>4</xdr:col>
      <xdr:colOff>175260</xdr:colOff>
      <xdr:row>7</xdr:row>
      <xdr:rowOff>121920</xdr:rowOff>
    </xdr:to>
    <xdr:sp macro="" textlink="">
      <xdr:nvSpPr>
        <xdr:cNvPr id="192" name="Line 491">
          <a:extLst>
            <a:ext uri="{FF2B5EF4-FFF2-40B4-BE49-F238E27FC236}">
              <a16:creationId xmlns:a16="http://schemas.microsoft.com/office/drawing/2014/main" id="{47242FB0-917F-4ECE-ADD9-DC4D52047504}"/>
            </a:ext>
          </a:extLst>
        </xdr:cNvPr>
        <xdr:cNvSpPr>
          <a:spLocks noChangeShapeType="1"/>
        </xdr:cNvSpPr>
      </xdr:nvSpPr>
      <xdr:spPr bwMode="auto">
        <a:xfrm>
          <a:off x="2674620" y="1112520"/>
          <a:ext cx="0" cy="2133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411480</xdr:colOff>
      <xdr:row>5</xdr:row>
      <xdr:rowOff>91440</xdr:rowOff>
    </xdr:from>
    <xdr:to>
      <xdr:col>3</xdr:col>
      <xdr:colOff>502920</xdr:colOff>
      <xdr:row>5</xdr:row>
      <xdr:rowOff>91440</xdr:rowOff>
    </xdr:to>
    <xdr:sp macro="" textlink="">
      <xdr:nvSpPr>
        <xdr:cNvPr id="193" name="Line 492">
          <a:extLst>
            <a:ext uri="{FF2B5EF4-FFF2-40B4-BE49-F238E27FC236}">
              <a16:creationId xmlns:a16="http://schemas.microsoft.com/office/drawing/2014/main" id="{C139BD78-1DB2-4DED-BC36-445177FEA227}"/>
            </a:ext>
          </a:extLst>
        </xdr:cNvPr>
        <xdr:cNvSpPr>
          <a:spLocks noChangeShapeType="1"/>
        </xdr:cNvSpPr>
      </xdr:nvSpPr>
      <xdr:spPr bwMode="auto">
        <a:xfrm flipH="1">
          <a:off x="2286000" y="960120"/>
          <a:ext cx="914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426720</xdr:colOff>
      <xdr:row>5</xdr:row>
      <xdr:rowOff>99060</xdr:rowOff>
    </xdr:from>
    <xdr:to>
      <xdr:col>3</xdr:col>
      <xdr:colOff>548640</xdr:colOff>
      <xdr:row>7</xdr:row>
      <xdr:rowOff>60960</xdr:rowOff>
    </xdr:to>
    <xdr:sp macro="" textlink="">
      <xdr:nvSpPr>
        <xdr:cNvPr id="194" name="Line 493">
          <a:extLst>
            <a:ext uri="{FF2B5EF4-FFF2-40B4-BE49-F238E27FC236}">
              <a16:creationId xmlns:a16="http://schemas.microsoft.com/office/drawing/2014/main" id="{27AF4C30-EB8B-43C9-88D9-0D345D357061}"/>
            </a:ext>
          </a:extLst>
        </xdr:cNvPr>
        <xdr:cNvSpPr>
          <a:spLocks noChangeShapeType="1"/>
        </xdr:cNvSpPr>
      </xdr:nvSpPr>
      <xdr:spPr bwMode="auto">
        <a:xfrm>
          <a:off x="2301240" y="967740"/>
          <a:ext cx="121920" cy="297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533400</xdr:colOff>
      <xdr:row>7</xdr:row>
      <xdr:rowOff>22860</xdr:rowOff>
    </xdr:from>
    <xdr:to>
      <xdr:col>4</xdr:col>
      <xdr:colOff>182880</xdr:colOff>
      <xdr:row>7</xdr:row>
      <xdr:rowOff>60960</xdr:rowOff>
    </xdr:to>
    <xdr:sp macro="" textlink="">
      <xdr:nvSpPr>
        <xdr:cNvPr id="195" name="Line 494">
          <a:extLst>
            <a:ext uri="{FF2B5EF4-FFF2-40B4-BE49-F238E27FC236}">
              <a16:creationId xmlns:a16="http://schemas.microsoft.com/office/drawing/2014/main" id="{FAD92535-4748-44E1-B6FE-CA861E14A8E7}"/>
            </a:ext>
          </a:extLst>
        </xdr:cNvPr>
        <xdr:cNvSpPr>
          <a:spLocks noChangeShapeType="1"/>
        </xdr:cNvSpPr>
      </xdr:nvSpPr>
      <xdr:spPr bwMode="auto">
        <a:xfrm flipV="1">
          <a:off x="2407920" y="1226820"/>
          <a:ext cx="274320"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86224</xdr:colOff>
      <xdr:row>13</xdr:row>
      <xdr:rowOff>8021</xdr:rowOff>
    </xdr:from>
    <xdr:to>
      <xdr:col>3</xdr:col>
      <xdr:colOff>192506</xdr:colOff>
      <xdr:row>15</xdr:row>
      <xdr:rowOff>16441</xdr:rowOff>
    </xdr:to>
    <xdr:sp macro="" textlink="">
      <xdr:nvSpPr>
        <xdr:cNvPr id="273" name="Line 662">
          <a:extLst>
            <a:ext uri="{FF2B5EF4-FFF2-40B4-BE49-F238E27FC236}">
              <a16:creationId xmlns:a16="http://schemas.microsoft.com/office/drawing/2014/main" id="{EC594EF1-2C8E-422B-8E92-A72C1368E747}"/>
            </a:ext>
          </a:extLst>
        </xdr:cNvPr>
        <xdr:cNvSpPr>
          <a:spLocks noChangeShapeType="1"/>
        </xdr:cNvSpPr>
      </xdr:nvSpPr>
      <xdr:spPr bwMode="auto">
        <a:xfrm flipH="1">
          <a:off x="3182350" y="2422358"/>
          <a:ext cx="731924" cy="37738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556260</xdr:colOff>
      <xdr:row>16</xdr:row>
      <xdr:rowOff>160020</xdr:rowOff>
    </xdr:from>
    <xdr:to>
      <xdr:col>1</xdr:col>
      <xdr:colOff>563880</xdr:colOff>
      <xdr:row>16</xdr:row>
      <xdr:rowOff>160020</xdr:rowOff>
    </xdr:to>
    <xdr:sp macro="" textlink="">
      <xdr:nvSpPr>
        <xdr:cNvPr id="274" name="Line 668">
          <a:extLst>
            <a:ext uri="{FF2B5EF4-FFF2-40B4-BE49-F238E27FC236}">
              <a16:creationId xmlns:a16="http://schemas.microsoft.com/office/drawing/2014/main" id="{F9384617-9660-48DF-A56B-3D38C55267F1}"/>
            </a:ext>
          </a:extLst>
        </xdr:cNvPr>
        <xdr:cNvSpPr>
          <a:spLocks noChangeShapeType="1"/>
        </xdr:cNvSpPr>
      </xdr:nvSpPr>
      <xdr:spPr bwMode="auto">
        <a:xfrm flipH="1">
          <a:off x="1181100" y="2872740"/>
          <a:ext cx="7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419100</xdr:colOff>
      <xdr:row>22</xdr:row>
      <xdr:rowOff>0</xdr:rowOff>
    </xdr:from>
    <xdr:to>
      <xdr:col>2</xdr:col>
      <xdr:colOff>419100</xdr:colOff>
      <xdr:row>22</xdr:row>
      <xdr:rowOff>160020</xdr:rowOff>
    </xdr:to>
    <xdr:sp macro="" textlink="">
      <xdr:nvSpPr>
        <xdr:cNvPr id="280" name="Line 675">
          <a:extLst>
            <a:ext uri="{FF2B5EF4-FFF2-40B4-BE49-F238E27FC236}">
              <a16:creationId xmlns:a16="http://schemas.microsoft.com/office/drawing/2014/main" id="{04319642-BF60-4EE2-8AEE-70BF97C0A588}"/>
            </a:ext>
          </a:extLst>
        </xdr:cNvPr>
        <xdr:cNvSpPr>
          <a:spLocks noChangeShapeType="1"/>
        </xdr:cNvSpPr>
      </xdr:nvSpPr>
      <xdr:spPr bwMode="auto">
        <a:xfrm flipH="1">
          <a:off x="1668780" y="3718560"/>
          <a:ext cx="0" cy="1600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7620</xdr:colOff>
      <xdr:row>22</xdr:row>
      <xdr:rowOff>7620</xdr:rowOff>
    </xdr:from>
    <xdr:to>
      <xdr:col>2</xdr:col>
      <xdr:colOff>7620</xdr:colOff>
      <xdr:row>23</xdr:row>
      <xdr:rowOff>15240</xdr:rowOff>
    </xdr:to>
    <xdr:sp macro="" textlink="">
      <xdr:nvSpPr>
        <xdr:cNvPr id="281" name="Line 676">
          <a:extLst>
            <a:ext uri="{FF2B5EF4-FFF2-40B4-BE49-F238E27FC236}">
              <a16:creationId xmlns:a16="http://schemas.microsoft.com/office/drawing/2014/main" id="{DB80F0EF-A387-4D3E-94BF-2390E7240B9C}"/>
            </a:ext>
          </a:extLst>
        </xdr:cNvPr>
        <xdr:cNvSpPr>
          <a:spLocks noChangeShapeType="1"/>
        </xdr:cNvSpPr>
      </xdr:nvSpPr>
      <xdr:spPr bwMode="auto">
        <a:xfrm>
          <a:off x="1257300" y="3726180"/>
          <a:ext cx="0" cy="1752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76200</xdr:colOff>
      <xdr:row>39</xdr:row>
      <xdr:rowOff>66675</xdr:rowOff>
    </xdr:from>
    <xdr:to>
      <xdr:col>2</xdr:col>
      <xdr:colOff>76200</xdr:colOff>
      <xdr:row>39</xdr:row>
      <xdr:rowOff>66675</xdr:rowOff>
    </xdr:to>
    <xdr:sp macro="" textlink="">
      <xdr:nvSpPr>
        <xdr:cNvPr id="202" name="Line 6">
          <a:extLst>
            <a:ext uri="{FF2B5EF4-FFF2-40B4-BE49-F238E27FC236}">
              <a16:creationId xmlns:a16="http://schemas.microsoft.com/office/drawing/2014/main" id="{944B0CD6-CF3D-4F28-AEC6-ECF63F092C1B}"/>
            </a:ext>
          </a:extLst>
        </xdr:cNvPr>
        <xdr:cNvSpPr>
          <a:spLocks noChangeShapeType="1"/>
        </xdr:cNvSpPr>
      </xdr:nvSpPr>
      <xdr:spPr bwMode="auto">
        <a:xfrm>
          <a:off x="1325880" y="682561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39</xdr:row>
      <xdr:rowOff>85725</xdr:rowOff>
    </xdr:from>
    <xdr:to>
      <xdr:col>3</xdr:col>
      <xdr:colOff>0</xdr:colOff>
      <xdr:row>39</xdr:row>
      <xdr:rowOff>85725</xdr:rowOff>
    </xdr:to>
    <xdr:sp macro="" textlink="">
      <xdr:nvSpPr>
        <xdr:cNvPr id="203" name="Line 7">
          <a:extLst>
            <a:ext uri="{FF2B5EF4-FFF2-40B4-BE49-F238E27FC236}">
              <a16:creationId xmlns:a16="http://schemas.microsoft.com/office/drawing/2014/main" id="{1AF4E67F-C626-4108-9F9E-68B9E64D6AA0}"/>
            </a:ext>
          </a:extLst>
        </xdr:cNvPr>
        <xdr:cNvSpPr>
          <a:spLocks noChangeShapeType="1"/>
        </xdr:cNvSpPr>
      </xdr:nvSpPr>
      <xdr:spPr bwMode="auto">
        <a:xfrm>
          <a:off x="1874520" y="684466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30</xdr:row>
      <xdr:rowOff>38100</xdr:rowOff>
    </xdr:from>
    <xdr:to>
      <xdr:col>2</xdr:col>
      <xdr:colOff>19050</xdr:colOff>
      <xdr:row>40</xdr:row>
      <xdr:rowOff>114300</xdr:rowOff>
    </xdr:to>
    <xdr:sp macro="" textlink="">
      <xdr:nvSpPr>
        <xdr:cNvPr id="204" name="Line 8">
          <a:extLst>
            <a:ext uri="{FF2B5EF4-FFF2-40B4-BE49-F238E27FC236}">
              <a16:creationId xmlns:a16="http://schemas.microsoft.com/office/drawing/2014/main" id="{47F4D490-43EF-4D07-BD58-344B326A7396}"/>
            </a:ext>
          </a:extLst>
        </xdr:cNvPr>
        <xdr:cNvSpPr>
          <a:spLocks noChangeShapeType="1"/>
        </xdr:cNvSpPr>
      </xdr:nvSpPr>
      <xdr:spPr bwMode="auto">
        <a:xfrm>
          <a:off x="1268730" y="5151120"/>
          <a:ext cx="0" cy="190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400050</xdr:colOff>
      <xdr:row>30</xdr:row>
      <xdr:rowOff>9525</xdr:rowOff>
    </xdr:from>
    <xdr:to>
      <xdr:col>2</xdr:col>
      <xdr:colOff>400050</xdr:colOff>
      <xdr:row>38</xdr:row>
      <xdr:rowOff>85725</xdr:rowOff>
    </xdr:to>
    <xdr:sp macro="" textlink="">
      <xdr:nvSpPr>
        <xdr:cNvPr id="205" name="Line 9">
          <a:extLst>
            <a:ext uri="{FF2B5EF4-FFF2-40B4-BE49-F238E27FC236}">
              <a16:creationId xmlns:a16="http://schemas.microsoft.com/office/drawing/2014/main" id="{B3E1B614-3C62-4E50-A777-F59BEE228F0B}"/>
            </a:ext>
          </a:extLst>
        </xdr:cNvPr>
        <xdr:cNvSpPr>
          <a:spLocks noChangeShapeType="1"/>
        </xdr:cNvSpPr>
      </xdr:nvSpPr>
      <xdr:spPr bwMode="auto">
        <a:xfrm>
          <a:off x="1649730" y="5122545"/>
          <a:ext cx="0" cy="15392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30</xdr:row>
      <xdr:rowOff>28575</xdr:rowOff>
    </xdr:from>
    <xdr:to>
      <xdr:col>7</xdr:col>
      <xdr:colOff>600075</xdr:colOff>
      <xdr:row>40</xdr:row>
      <xdr:rowOff>114300</xdr:rowOff>
    </xdr:to>
    <xdr:sp macro="" textlink="">
      <xdr:nvSpPr>
        <xdr:cNvPr id="206" name="Line 10">
          <a:extLst>
            <a:ext uri="{FF2B5EF4-FFF2-40B4-BE49-F238E27FC236}">
              <a16:creationId xmlns:a16="http://schemas.microsoft.com/office/drawing/2014/main" id="{332F6B1E-7EB4-4B4D-A839-BB24E4D56678}"/>
            </a:ext>
          </a:extLst>
        </xdr:cNvPr>
        <xdr:cNvSpPr>
          <a:spLocks noChangeShapeType="1"/>
        </xdr:cNvSpPr>
      </xdr:nvSpPr>
      <xdr:spPr bwMode="auto">
        <a:xfrm>
          <a:off x="4973955" y="5141595"/>
          <a:ext cx="0" cy="191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238125</xdr:colOff>
      <xdr:row>30</xdr:row>
      <xdr:rowOff>38100</xdr:rowOff>
    </xdr:from>
    <xdr:to>
      <xdr:col>7</xdr:col>
      <xdr:colOff>238125</xdr:colOff>
      <xdr:row>38</xdr:row>
      <xdr:rowOff>85725</xdr:rowOff>
    </xdr:to>
    <xdr:sp macro="" textlink="">
      <xdr:nvSpPr>
        <xdr:cNvPr id="207" name="Line 11">
          <a:extLst>
            <a:ext uri="{FF2B5EF4-FFF2-40B4-BE49-F238E27FC236}">
              <a16:creationId xmlns:a16="http://schemas.microsoft.com/office/drawing/2014/main" id="{8D23A701-40C0-4699-8E68-D010B4D86424}"/>
            </a:ext>
          </a:extLst>
        </xdr:cNvPr>
        <xdr:cNvSpPr>
          <a:spLocks noChangeShapeType="1"/>
        </xdr:cNvSpPr>
      </xdr:nvSpPr>
      <xdr:spPr bwMode="auto">
        <a:xfrm>
          <a:off x="4612005" y="5151120"/>
          <a:ext cx="0" cy="1510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409575</xdr:colOff>
      <xdr:row>38</xdr:row>
      <xdr:rowOff>85725</xdr:rowOff>
    </xdr:from>
    <xdr:to>
      <xdr:col>7</xdr:col>
      <xdr:colOff>247650</xdr:colOff>
      <xdr:row>38</xdr:row>
      <xdr:rowOff>85725</xdr:rowOff>
    </xdr:to>
    <xdr:sp macro="" textlink="">
      <xdr:nvSpPr>
        <xdr:cNvPr id="208" name="Line 14">
          <a:extLst>
            <a:ext uri="{FF2B5EF4-FFF2-40B4-BE49-F238E27FC236}">
              <a16:creationId xmlns:a16="http://schemas.microsoft.com/office/drawing/2014/main" id="{3826D782-9168-48DD-88B2-2BB6DA65085E}"/>
            </a:ext>
          </a:extLst>
        </xdr:cNvPr>
        <xdr:cNvSpPr>
          <a:spLocks noChangeShapeType="1"/>
        </xdr:cNvSpPr>
      </xdr:nvSpPr>
      <xdr:spPr bwMode="auto">
        <a:xfrm>
          <a:off x="1659255" y="6661785"/>
          <a:ext cx="2962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118295</xdr:colOff>
      <xdr:row>40</xdr:row>
      <xdr:rowOff>107540</xdr:rowOff>
    </xdr:from>
    <xdr:to>
      <xdr:col>7</xdr:col>
      <xdr:colOff>575495</xdr:colOff>
      <xdr:row>40</xdr:row>
      <xdr:rowOff>107540</xdr:rowOff>
    </xdr:to>
    <xdr:sp macro="" textlink="">
      <xdr:nvSpPr>
        <xdr:cNvPr id="209" name="Line 31">
          <a:extLst>
            <a:ext uri="{FF2B5EF4-FFF2-40B4-BE49-F238E27FC236}">
              <a16:creationId xmlns:a16="http://schemas.microsoft.com/office/drawing/2014/main" id="{1D671231-4705-4108-8192-4F52F745615F}"/>
            </a:ext>
          </a:extLst>
        </xdr:cNvPr>
        <xdr:cNvSpPr>
          <a:spLocks noChangeShapeType="1"/>
        </xdr:cNvSpPr>
      </xdr:nvSpPr>
      <xdr:spPr bwMode="auto">
        <a:xfrm>
          <a:off x="1367975" y="7049360"/>
          <a:ext cx="3581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40</xdr:row>
      <xdr:rowOff>114300</xdr:rowOff>
    </xdr:from>
    <xdr:to>
      <xdr:col>7</xdr:col>
      <xdr:colOff>590550</xdr:colOff>
      <xdr:row>40</xdr:row>
      <xdr:rowOff>114300</xdr:rowOff>
    </xdr:to>
    <xdr:sp macro="" textlink="">
      <xdr:nvSpPr>
        <xdr:cNvPr id="210" name="Line 40">
          <a:extLst>
            <a:ext uri="{FF2B5EF4-FFF2-40B4-BE49-F238E27FC236}">
              <a16:creationId xmlns:a16="http://schemas.microsoft.com/office/drawing/2014/main" id="{5D144A21-B75E-47C3-8F7E-0E1A17780AF2}"/>
            </a:ext>
          </a:extLst>
        </xdr:cNvPr>
        <xdr:cNvSpPr>
          <a:spLocks noChangeShapeType="1"/>
        </xdr:cNvSpPr>
      </xdr:nvSpPr>
      <xdr:spPr bwMode="auto">
        <a:xfrm>
          <a:off x="1278255" y="7056120"/>
          <a:ext cx="3686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85725</xdr:colOff>
      <xdr:row>30</xdr:row>
      <xdr:rowOff>57150</xdr:rowOff>
    </xdr:from>
    <xdr:to>
      <xdr:col>2</xdr:col>
      <xdr:colOff>85725</xdr:colOff>
      <xdr:row>40</xdr:row>
      <xdr:rowOff>19050</xdr:rowOff>
    </xdr:to>
    <xdr:sp macro="" textlink="">
      <xdr:nvSpPr>
        <xdr:cNvPr id="211" name="Line 44">
          <a:extLst>
            <a:ext uri="{FF2B5EF4-FFF2-40B4-BE49-F238E27FC236}">
              <a16:creationId xmlns:a16="http://schemas.microsoft.com/office/drawing/2014/main" id="{D973934E-C32B-41D8-963D-2DCA8A4E2EE1}"/>
            </a:ext>
          </a:extLst>
        </xdr:cNvPr>
        <xdr:cNvSpPr>
          <a:spLocks noChangeShapeType="1"/>
        </xdr:cNvSpPr>
      </xdr:nvSpPr>
      <xdr:spPr bwMode="auto">
        <a:xfrm>
          <a:off x="1335405" y="5170170"/>
          <a:ext cx="0" cy="1790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95250</xdr:colOff>
      <xdr:row>30</xdr:row>
      <xdr:rowOff>76200</xdr:rowOff>
    </xdr:from>
    <xdr:to>
      <xdr:col>2</xdr:col>
      <xdr:colOff>152400</xdr:colOff>
      <xdr:row>30</xdr:row>
      <xdr:rowOff>133350</xdr:rowOff>
    </xdr:to>
    <xdr:sp macro="" textlink="">
      <xdr:nvSpPr>
        <xdr:cNvPr id="212" name="Arc 50">
          <a:extLst>
            <a:ext uri="{FF2B5EF4-FFF2-40B4-BE49-F238E27FC236}">
              <a16:creationId xmlns:a16="http://schemas.microsoft.com/office/drawing/2014/main" id="{A8F42251-7C8D-4BC5-B929-D294C22D8C42}"/>
            </a:ext>
          </a:extLst>
        </xdr:cNvPr>
        <xdr:cNvSpPr>
          <a:spLocks/>
        </xdr:cNvSpPr>
      </xdr:nvSpPr>
      <xdr:spPr bwMode="auto">
        <a:xfrm>
          <a:off x="1344930" y="518922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552450</xdr:colOff>
      <xdr:row>30</xdr:row>
      <xdr:rowOff>85725</xdr:rowOff>
    </xdr:from>
    <xdr:to>
      <xdr:col>7</xdr:col>
      <xdr:colOff>552450</xdr:colOff>
      <xdr:row>40</xdr:row>
      <xdr:rowOff>66675</xdr:rowOff>
    </xdr:to>
    <xdr:sp macro="" textlink="">
      <xdr:nvSpPr>
        <xdr:cNvPr id="213" name="Line 53">
          <a:extLst>
            <a:ext uri="{FF2B5EF4-FFF2-40B4-BE49-F238E27FC236}">
              <a16:creationId xmlns:a16="http://schemas.microsoft.com/office/drawing/2014/main" id="{A319AFE8-28D4-46FE-9F7C-7555D595B06B}"/>
            </a:ext>
          </a:extLst>
        </xdr:cNvPr>
        <xdr:cNvSpPr>
          <a:spLocks noChangeShapeType="1"/>
        </xdr:cNvSpPr>
      </xdr:nvSpPr>
      <xdr:spPr bwMode="auto">
        <a:xfrm>
          <a:off x="4926330" y="5198745"/>
          <a:ext cx="0" cy="18097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40</xdr:row>
      <xdr:rowOff>19050</xdr:rowOff>
    </xdr:from>
    <xdr:to>
      <xdr:col>2</xdr:col>
      <xdr:colOff>161925</xdr:colOff>
      <xdr:row>40</xdr:row>
      <xdr:rowOff>95250</xdr:rowOff>
    </xdr:to>
    <xdr:sp macro="" textlink="">
      <xdr:nvSpPr>
        <xdr:cNvPr id="214" name="Arc 62">
          <a:extLst>
            <a:ext uri="{FF2B5EF4-FFF2-40B4-BE49-F238E27FC236}">
              <a16:creationId xmlns:a16="http://schemas.microsoft.com/office/drawing/2014/main" id="{1C60F395-8567-40B7-835B-FF16EBB0963A}"/>
            </a:ext>
          </a:extLst>
        </xdr:cNvPr>
        <xdr:cNvSpPr>
          <a:spLocks/>
        </xdr:cNvSpPr>
      </xdr:nvSpPr>
      <xdr:spPr bwMode="auto">
        <a:xfrm>
          <a:off x="1354455" y="6960870"/>
          <a:ext cx="57150" cy="76200"/>
        </a:xfrm>
        <a:custGeom>
          <a:avLst/>
          <a:gdLst>
            <a:gd name="T0" fmla="*/ 28575 w 43200"/>
            <a:gd name="T1" fmla="*/ 0 h 43200"/>
            <a:gd name="T2" fmla="*/ 25703 w 43200"/>
            <a:gd name="T3" fmla="*/ 192 h 43200"/>
            <a:gd name="T4" fmla="*/ 28575 w 43200"/>
            <a:gd name="T5" fmla="*/ 38100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95250</xdr:colOff>
      <xdr:row>38</xdr:row>
      <xdr:rowOff>104775</xdr:rowOff>
    </xdr:from>
    <xdr:to>
      <xdr:col>2</xdr:col>
      <xdr:colOff>152400</xdr:colOff>
      <xdr:row>39</xdr:row>
      <xdr:rowOff>9525</xdr:rowOff>
    </xdr:to>
    <xdr:sp macro="" textlink="">
      <xdr:nvSpPr>
        <xdr:cNvPr id="215" name="Arc 63">
          <a:extLst>
            <a:ext uri="{FF2B5EF4-FFF2-40B4-BE49-F238E27FC236}">
              <a16:creationId xmlns:a16="http://schemas.microsoft.com/office/drawing/2014/main" id="{F49E8E7D-60D1-4122-8B01-6623EC27FC04}"/>
            </a:ext>
          </a:extLst>
        </xdr:cNvPr>
        <xdr:cNvSpPr>
          <a:spLocks/>
        </xdr:cNvSpPr>
      </xdr:nvSpPr>
      <xdr:spPr bwMode="auto">
        <a:xfrm>
          <a:off x="1344930" y="6680835"/>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285750</xdr:colOff>
      <xdr:row>40</xdr:row>
      <xdr:rowOff>38100</xdr:rowOff>
    </xdr:from>
    <xdr:to>
      <xdr:col>2</xdr:col>
      <xdr:colOff>342900</xdr:colOff>
      <xdr:row>40</xdr:row>
      <xdr:rowOff>104775</xdr:rowOff>
    </xdr:to>
    <xdr:sp macro="" textlink="">
      <xdr:nvSpPr>
        <xdr:cNvPr id="216" name="Arc 64">
          <a:extLst>
            <a:ext uri="{FF2B5EF4-FFF2-40B4-BE49-F238E27FC236}">
              <a16:creationId xmlns:a16="http://schemas.microsoft.com/office/drawing/2014/main" id="{66000E19-6915-46C9-B75F-C557A45417C8}"/>
            </a:ext>
          </a:extLst>
        </xdr:cNvPr>
        <xdr:cNvSpPr>
          <a:spLocks/>
        </xdr:cNvSpPr>
      </xdr:nvSpPr>
      <xdr:spPr bwMode="auto">
        <a:xfrm>
          <a:off x="1535430" y="6979920"/>
          <a:ext cx="5715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561975</xdr:colOff>
      <xdr:row>38</xdr:row>
      <xdr:rowOff>114300</xdr:rowOff>
    </xdr:from>
    <xdr:to>
      <xdr:col>3</xdr:col>
      <xdr:colOff>0</xdr:colOff>
      <xdr:row>39</xdr:row>
      <xdr:rowOff>19050</xdr:rowOff>
    </xdr:to>
    <xdr:sp macro="" textlink="">
      <xdr:nvSpPr>
        <xdr:cNvPr id="217" name="Arc 65">
          <a:extLst>
            <a:ext uri="{FF2B5EF4-FFF2-40B4-BE49-F238E27FC236}">
              <a16:creationId xmlns:a16="http://schemas.microsoft.com/office/drawing/2014/main" id="{D5C10744-37F2-48BB-B3E8-ABE568F79834}"/>
            </a:ext>
          </a:extLst>
        </xdr:cNvPr>
        <xdr:cNvSpPr>
          <a:spLocks/>
        </xdr:cNvSpPr>
      </xdr:nvSpPr>
      <xdr:spPr bwMode="auto">
        <a:xfrm>
          <a:off x="1811655" y="6690360"/>
          <a:ext cx="62865" cy="87630"/>
        </a:xfrm>
        <a:custGeom>
          <a:avLst/>
          <a:gdLst>
            <a:gd name="T0" fmla="*/ 23813 w 43200"/>
            <a:gd name="T1" fmla="*/ 0 h 43200"/>
            <a:gd name="T2" fmla="*/ 21419 w 43200"/>
            <a:gd name="T3" fmla="*/ 168 h 43200"/>
            <a:gd name="T4" fmla="*/ 23813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352425</xdr:colOff>
      <xdr:row>39</xdr:row>
      <xdr:rowOff>142875</xdr:rowOff>
    </xdr:from>
    <xdr:to>
      <xdr:col>2</xdr:col>
      <xdr:colOff>409575</xdr:colOff>
      <xdr:row>40</xdr:row>
      <xdr:rowOff>47625</xdr:rowOff>
    </xdr:to>
    <xdr:sp macro="" textlink="">
      <xdr:nvSpPr>
        <xdr:cNvPr id="218" name="Arc 67">
          <a:extLst>
            <a:ext uri="{FF2B5EF4-FFF2-40B4-BE49-F238E27FC236}">
              <a16:creationId xmlns:a16="http://schemas.microsoft.com/office/drawing/2014/main" id="{9E0B6087-1B45-4274-8252-37A31347C50C}"/>
            </a:ext>
          </a:extLst>
        </xdr:cNvPr>
        <xdr:cNvSpPr>
          <a:spLocks/>
        </xdr:cNvSpPr>
      </xdr:nvSpPr>
      <xdr:spPr bwMode="auto">
        <a:xfrm>
          <a:off x="1602105" y="6901815"/>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342900</xdr:colOff>
      <xdr:row>40</xdr:row>
      <xdr:rowOff>38100</xdr:rowOff>
    </xdr:from>
    <xdr:to>
      <xdr:col>3</xdr:col>
      <xdr:colOff>400050</xdr:colOff>
      <xdr:row>40</xdr:row>
      <xdr:rowOff>104775</xdr:rowOff>
    </xdr:to>
    <xdr:sp macro="" textlink="">
      <xdr:nvSpPr>
        <xdr:cNvPr id="219" name="Arc 68">
          <a:extLst>
            <a:ext uri="{FF2B5EF4-FFF2-40B4-BE49-F238E27FC236}">
              <a16:creationId xmlns:a16="http://schemas.microsoft.com/office/drawing/2014/main" id="{A5B49446-FD96-4852-AF97-20F527BD22C9}"/>
            </a:ext>
          </a:extLst>
        </xdr:cNvPr>
        <xdr:cNvSpPr>
          <a:spLocks/>
        </xdr:cNvSpPr>
      </xdr:nvSpPr>
      <xdr:spPr bwMode="auto">
        <a:xfrm>
          <a:off x="2217420" y="6979920"/>
          <a:ext cx="5715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123825</xdr:colOff>
      <xdr:row>40</xdr:row>
      <xdr:rowOff>28575</xdr:rowOff>
    </xdr:from>
    <xdr:to>
      <xdr:col>4</xdr:col>
      <xdr:colOff>180975</xdr:colOff>
      <xdr:row>40</xdr:row>
      <xdr:rowOff>95250</xdr:rowOff>
    </xdr:to>
    <xdr:sp macro="" textlink="">
      <xdr:nvSpPr>
        <xdr:cNvPr id="220" name="Arc 69">
          <a:extLst>
            <a:ext uri="{FF2B5EF4-FFF2-40B4-BE49-F238E27FC236}">
              <a16:creationId xmlns:a16="http://schemas.microsoft.com/office/drawing/2014/main" id="{E62E1B28-F927-461B-AEEB-E5C54B563E13}"/>
            </a:ext>
          </a:extLst>
        </xdr:cNvPr>
        <xdr:cNvSpPr>
          <a:spLocks/>
        </xdr:cNvSpPr>
      </xdr:nvSpPr>
      <xdr:spPr bwMode="auto">
        <a:xfrm>
          <a:off x="2623185" y="6970395"/>
          <a:ext cx="5715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533400</xdr:colOff>
      <xdr:row>40</xdr:row>
      <xdr:rowOff>28575</xdr:rowOff>
    </xdr:from>
    <xdr:to>
      <xdr:col>4</xdr:col>
      <xdr:colOff>590550</xdr:colOff>
      <xdr:row>40</xdr:row>
      <xdr:rowOff>95250</xdr:rowOff>
    </xdr:to>
    <xdr:sp macro="" textlink="">
      <xdr:nvSpPr>
        <xdr:cNvPr id="221" name="Arc 71">
          <a:extLst>
            <a:ext uri="{FF2B5EF4-FFF2-40B4-BE49-F238E27FC236}">
              <a16:creationId xmlns:a16="http://schemas.microsoft.com/office/drawing/2014/main" id="{79B45397-0CF9-460D-8C86-6EFAA81600AE}"/>
            </a:ext>
          </a:extLst>
        </xdr:cNvPr>
        <xdr:cNvSpPr>
          <a:spLocks/>
        </xdr:cNvSpPr>
      </xdr:nvSpPr>
      <xdr:spPr bwMode="auto">
        <a:xfrm>
          <a:off x="3032760" y="6970395"/>
          <a:ext cx="5715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76200</xdr:colOff>
      <xdr:row>39</xdr:row>
      <xdr:rowOff>38100</xdr:rowOff>
    </xdr:from>
    <xdr:to>
      <xdr:col>7</xdr:col>
      <xdr:colOff>533400</xdr:colOff>
      <xdr:row>39</xdr:row>
      <xdr:rowOff>38100</xdr:rowOff>
    </xdr:to>
    <xdr:sp macro="" textlink="">
      <xdr:nvSpPr>
        <xdr:cNvPr id="222" name="Line 73">
          <a:extLst>
            <a:ext uri="{FF2B5EF4-FFF2-40B4-BE49-F238E27FC236}">
              <a16:creationId xmlns:a16="http://schemas.microsoft.com/office/drawing/2014/main" id="{DEC8E1CF-F4F2-47E1-8B1D-597BA25A48F8}"/>
            </a:ext>
          </a:extLst>
        </xdr:cNvPr>
        <xdr:cNvSpPr>
          <a:spLocks noChangeShapeType="1"/>
        </xdr:cNvSpPr>
      </xdr:nvSpPr>
      <xdr:spPr bwMode="auto">
        <a:xfrm>
          <a:off x="1325880" y="6797040"/>
          <a:ext cx="3581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257175</xdr:colOff>
      <xdr:row>38</xdr:row>
      <xdr:rowOff>104775</xdr:rowOff>
    </xdr:from>
    <xdr:to>
      <xdr:col>6</xdr:col>
      <xdr:colOff>314325</xdr:colOff>
      <xdr:row>39</xdr:row>
      <xdr:rowOff>9525</xdr:rowOff>
    </xdr:to>
    <xdr:sp macro="" textlink="">
      <xdr:nvSpPr>
        <xdr:cNvPr id="223" name="Arc 79">
          <a:extLst>
            <a:ext uri="{FF2B5EF4-FFF2-40B4-BE49-F238E27FC236}">
              <a16:creationId xmlns:a16="http://schemas.microsoft.com/office/drawing/2014/main" id="{948BD89C-4CDD-431A-B2FA-744ED12633B8}"/>
            </a:ext>
          </a:extLst>
        </xdr:cNvPr>
        <xdr:cNvSpPr>
          <a:spLocks/>
        </xdr:cNvSpPr>
      </xdr:nvSpPr>
      <xdr:spPr bwMode="auto">
        <a:xfrm>
          <a:off x="4006215" y="6680835"/>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257175</xdr:colOff>
      <xdr:row>40</xdr:row>
      <xdr:rowOff>28575</xdr:rowOff>
    </xdr:from>
    <xdr:to>
      <xdr:col>6</xdr:col>
      <xdr:colOff>314325</xdr:colOff>
      <xdr:row>40</xdr:row>
      <xdr:rowOff>95250</xdr:rowOff>
    </xdr:to>
    <xdr:sp macro="" textlink="">
      <xdr:nvSpPr>
        <xdr:cNvPr id="224" name="Arc 80">
          <a:extLst>
            <a:ext uri="{FF2B5EF4-FFF2-40B4-BE49-F238E27FC236}">
              <a16:creationId xmlns:a16="http://schemas.microsoft.com/office/drawing/2014/main" id="{F412800E-2DA7-44DD-A7CA-21F506EBD2B2}"/>
            </a:ext>
          </a:extLst>
        </xdr:cNvPr>
        <xdr:cNvSpPr>
          <a:spLocks/>
        </xdr:cNvSpPr>
      </xdr:nvSpPr>
      <xdr:spPr bwMode="auto">
        <a:xfrm>
          <a:off x="4006215" y="6970395"/>
          <a:ext cx="5715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314325</xdr:colOff>
      <xdr:row>40</xdr:row>
      <xdr:rowOff>19050</xdr:rowOff>
    </xdr:from>
    <xdr:to>
      <xdr:col>7</xdr:col>
      <xdr:colOff>371475</xdr:colOff>
      <xdr:row>40</xdr:row>
      <xdr:rowOff>85725</xdr:rowOff>
    </xdr:to>
    <xdr:sp macro="" textlink="">
      <xdr:nvSpPr>
        <xdr:cNvPr id="225" name="Arc 81">
          <a:extLst>
            <a:ext uri="{FF2B5EF4-FFF2-40B4-BE49-F238E27FC236}">
              <a16:creationId xmlns:a16="http://schemas.microsoft.com/office/drawing/2014/main" id="{CE8EF594-99A8-4892-B88D-B6C19AF9F371}"/>
            </a:ext>
          </a:extLst>
        </xdr:cNvPr>
        <xdr:cNvSpPr>
          <a:spLocks/>
        </xdr:cNvSpPr>
      </xdr:nvSpPr>
      <xdr:spPr bwMode="auto">
        <a:xfrm>
          <a:off x="4688205" y="6960870"/>
          <a:ext cx="5715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466725</xdr:colOff>
      <xdr:row>38</xdr:row>
      <xdr:rowOff>114300</xdr:rowOff>
    </xdr:from>
    <xdr:to>
      <xdr:col>7</xdr:col>
      <xdr:colOff>523875</xdr:colOff>
      <xdr:row>39</xdr:row>
      <xdr:rowOff>19050</xdr:rowOff>
    </xdr:to>
    <xdr:sp macro="" textlink="">
      <xdr:nvSpPr>
        <xdr:cNvPr id="226" name="Arc 82">
          <a:extLst>
            <a:ext uri="{FF2B5EF4-FFF2-40B4-BE49-F238E27FC236}">
              <a16:creationId xmlns:a16="http://schemas.microsoft.com/office/drawing/2014/main" id="{96BCF225-54D8-4349-8375-40FC07D4A0C0}"/>
            </a:ext>
          </a:extLst>
        </xdr:cNvPr>
        <xdr:cNvSpPr>
          <a:spLocks/>
        </xdr:cNvSpPr>
      </xdr:nvSpPr>
      <xdr:spPr bwMode="auto">
        <a:xfrm>
          <a:off x="4840605" y="6690360"/>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476250</xdr:colOff>
      <xdr:row>40</xdr:row>
      <xdr:rowOff>38100</xdr:rowOff>
    </xdr:from>
    <xdr:to>
      <xdr:col>7</xdr:col>
      <xdr:colOff>533400</xdr:colOff>
      <xdr:row>40</xdr:row>
      <xdr:rowOff>104775</xdr:rowOff>
    </xdr:to>
    <xdr:sp macro="" textlink="">
      <xdr:nvSpPr>
        <xdr:cNvPr id="227" name="Arc 83">
          <a:extLst>
            <a:ext uri="{FF2B5EF4-FFF2-40B4-BE49-F238E27FC236}">
              <a16:creationId xmlns:a16="http://schemas.microsoft.com/office/drawing/2014/main" id="{5C490749-C024-4368-9C1D-161E50688D66}"/>
            </a:ext>
          </a:extLst>
        </xdr:cNvPr>
        <xdr:cNvSpPr>
          <a:spLocks/>
        </xdr:cNvSpPr>
      </xdr:nvSpPr>
      <xdr:spPr bwMode="auto">
        <a:xfrm>
          <a:off x="4850130" y="6979920"/>
          <a:ext cx="5715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38100</xdr:colOff>
      <xdr:row>38</xdr:row>
      <xdr:rowOff>114300</xdr:rowOff>
    </xdr:from>
    <xdr:to>
      <xdr:col>7</xdr:col>
      <xdr:colOff>95250</xdr:colOff>
      <xdr:row>39</xdr:row>
      <xdr:rowOff>19050</xdr:rowOff>
    </xdr:to>
    <xdr:sp macro="" textlink="">
      <xdr:nvSpPr>
        <xdr:cNvPr id="228" name="Arc 84">
          <a:extLst>
            <a:ext uri="{FF2B5EF4-FFF2-40B4-BE49-F238E27FC236}">
              <a16:creationId xmlns:a16="http://schemas.microsoft.com/office/drawing/2014/main" id="{B1C9754B-DB16-406C-B5A8-164E296BEBF8}"/>
            </a:ext>
          </a:extLst>
        </xdr:cNvPr>
        <xdr:cNvSpPr>
          <a:spLocks/>
        </xdr:cNvSpPr>
      </xdr:nvSpPr>
      <xdr:spPr bwMode="auto">
        <a:xfrm>
          <a:off x="4411980" y="6690360"/>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352425</xdr:colOff>
      <xdr:row>38</xdr:row>
      <xdr:rowOff>104775</xdr:rowOff>
    </xdr:from>
    <xdr:to>
      <xdr:col>3</xdr:col>
      <xdr:colOff>409575</xdr:colOff>
      <xdr:row>39</xdr:row>
      <xdr:rowOff>9525</xdr:rowOff>
    </xdr:to>
    <xdr:sp macro="" textlink="">
      <xdr:nvSpPr>
        <xdr:cNvPr id="229" name="Arc 86">
          <a:extLst>
            <a:ext uri="{FF2B5EF4-FFF2-40B4-BE49-F238E27FC236}">
              <a16:creationId xmlns:a16="http://schemas.microsoft.com/office/drawing/2014/main" id="{B1D2EF67-9FF5-46A9-BED5-88FBE19F9FFC}"/>
            </a:ext>
          </a:extLst>
        </xdr:cNvPr>
        <xdr:cNvSpPr>
          <a:spLocks/>
        </xdr:cNvSpPr>
      </xdr:nvSpPr>
      <xdr:spPr bwMode="auto">
        <a:xfrm>
          <a:off x="2226945" y="6680835"/>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123825</xdr:colOff>
      <xdr:row>38</xdr:row>
      <xdr:rowOff>114300</xdr:rowOff>
    </xdr:from>
    <xdr:to>
      <xdr:col>4</xdr:col>
      <xdr:colOff>180975</xdr:colOff>
      <xdr:row>39</xdr:row>
      <xdr:rowOff>19050</xdr:rowOff>
    </xdr:to>
    <xdr:sp macro="" textlink="">
      <xdr:nvSpPr>
        <xdr:cNvPr id="230" name="Arc 87">
          <a:extLst>
            <a:ext uri="{FF2B5EF4-FFF2-40B4-BE49-F238E27FC236}">
              <a16:creationId xmlns:a16="http://schemas.microsoft.com/office/drawing/2014/main" id="{81945B71-BA26-4373-9943-E340F26EA67C}"/>
            </a:ext>
          </a:extLst>
        </xdr:cNvPr>
        <xdr:cNvSpPr>
          <a:spLocks/>
        </xdr:cNvSpPr>
      </xdr:nvSpPr>
      <xdr:spPr bwMode="auto">
        <a:xfrm>
          <a:off x="2623185" y="6690360"/>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533400</xdr:colOff>
      <xdr:row>38</xdr:row>
      <xdr:rowOff>104775</xdr:rowOff>
    </xdr:from>
    <xdr:to>
      <xdr:col>4</xdr:col>
      <xdr:colOff>590550</xdr:colOff>
      <xdr:row>39</xdr:row>
      <xdr:rowOff>9525</xdr:rowOff>
    </xdr:to>
    <xdr:sp macro="" textlink="">
      <xdr:nvSpPr>
        <xdr:cNvPr id="231" name="Arc 88">
          <a:extLst>
            <a:ext uri="{FF2B5EF4-FFF2-40B4-BE49-F238E27FC236}">
              <a16:creationId xmlns:a16="http://schemas.microsoft.com/office/drawing/2014/main" id="{31AD40AE-9245-469D-9BD8-1EE41CF4B1E9}"/>
            </a:ext>
          </a:extLst>
        </xdr:cNvPr>
        <xdr:cNvSpPr>
          <a:spLocks/>
        </xdr:cNvSpPr>
      </xdr:nvSpPr>
      <xdr:spPr bwMode="auto">
        <a:xfrm>
          <a:off x="3032760" y="6680835"/>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400050</xdr:colOff>
      <xdr:row>38</xdr:row>
      <xdr:rowOff>104775</xdr:rowOff>
    </xdr:from>
    <xdr:to>
      <xdr:col>5</xdr:col>
      <xdr:colOff>457200</xdr:colOff>
      <xdr:row>39</xdr:row>
      <xdr:rowOff>9525</xdr:rowOff>
    </xdr:to>
    <xdr:sp macro="" textlink="">
      <xdr:nvSpPr>
        <xdr:cNvPr id="232" name="Arc 90">
          <a:extLst>
            <a:ext uri="{FF2B5EF4-FFF2-40B4-BE49-F238E27FC236}">
              <a16:creationId xmlns:a16="http://schemas.microsoft.com/office/drawing/2014/main" id="{E21AD936-7344-4053-BEB0-C45BECFAEC2A}"/>
            </a:ext>
          </a:extLst>
        </xdr:cNvPr>
        <xdr:cNvSpPr>
          <a:spLocks/>
        </xdr:cNvSpPr>
      </xdr:nvSpPr>
      <xdr:spPr bwMode="auto">
        <a:xfrm>
          <a:off x="3524250" y="6680835"/>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xdr:col>
      <xdr:colOff>368969</xdr:colOff>
      <xdr:row>38</xdr:row>
      <xdr:rowOff>172954</xdr:rowOff>
    </xdr:from>
    <xdr:to>
      <xdr:col>1</xdr:col>
      <xdr:colOff>615116</xdr:colOff>
      <xdr:row>39</xdr:row>
      <xdr:rowOff>0</xdr:rowOff>
    </xdr:to>
    <xdr:sp macro="" textlink="">
      <xdr:nvSpPr>
        <xdr:cNvPr id="233" name="Line 92">
          <a:extLst>
            <a:ext uri="{FF2B5EF4-FFF2-40B4-BE49-F238E27FC236}">
              <a16:creationId xmlns:a16="http://schemas.microsoft.com/office/drawing/2014/main" id="{FD8E677E-EAC7-42AF-A80D-A007DCFE576A}"/>
            </a:ext>
          </a:extLst>
        </xdr:cNvPr>
        <xdr:cNvSpPr>
          <a:spLocks noChangeShapeType="1"/>
        </xdr:cNvSpPr>
      </xdr:nvSpPr>
      <xdr:spPr bwMode="auto">
        <a:xfrm flipV="1">
          <a:off x="3505415" y="7194240"/>
          <a:ext cx="246147" cy="1074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800100</xdr:colOff>
      <xdr:row>32</xdr:row>
      <xdr:rowOff>0</xdr:rowOff>
    </xdr:from>
    <xdr:to>
      <xdr:col>4</xdr:col>
      <xdr:colOff>609600</xdr:colOff>
      <xdr:row>32</xdr:row>
      <xdr:rowOff>0</xdr:rowOff>
    </xdr:to>
    <xdr:sp macro="" textlink="">
      <xdr:nvSpPr>
        <xdr:cNvPr id="235" name="Line 98">
          <a:extLst>
            <a:ext uri="{FF2B5EF4-FFF2-40B4-BE49-F238E27FC236}">
              <a16:creationId xmlns:a16="http://schemas.microsoft.com/office/drawing/2014/main" id="{7DFFE848-AE53-4DDD-8A1C-49596155C736}"/>
            </a:ext>
          </a:extLst>
        </xdr:cNvPr>
        <xdr:cNvSpPr>
          <a:spLocks noChangeShapeType="1"/>
        </xdr:cNvSpPr>
      </xdr:nvSpPr>
      <xdr:spPr bwMode="auto">
        <a:xfrm flipV="1">
          <a:off x="3124200" y="547878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800100</xdr:colOff>
      <xdr:row>32</xdr:row>
      <xdr:rowOff>0</xdr:rowOff>
    </xdr:from>
    <xdr:to>
      <xdr:col>4</xdr:col>
      <xdr:colOff>609600</xdr:colOff>
      <xdr:row>32</xdr:row>
      <xdr:rowOff>0</xdr:rowOff>
    </xdr:to>
    <xdr:sp macro="" textlink="">
      <xdr:nvSpPr>
        <xdr:cNvPr id="236" name="Line 99">
          <a:extLst>
            <a:ext uri="{FF2B5EF4-FFF2-40B4-BE49-F238E27FC236}">
              <a16:creationId xmlns:a16="http://schemas.microsoft.com/office/drawing/2014/main" id="{D605BD45-423D-489C-A1B5-4AF2523F095C}"/>
            </a:ext>
          </a:extLst>
        </xdr:cNvPr>
        <xdr:cNvSpPr>
          <a:spLocks noChangeShapeType="1"/>
        </xdr:cNvSpPr>
      </xdr:nvSpPr>
      <xdr:spPr bwMode="auto">
        <a:xfrm>
          <a:off x="3124200" y="547878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800100</xdr:colOff>
      <xdr:row>32</xdr:row>
      <xdr:rowOff>0</xdr:rowOff>
    </xdr:from>
    <xdr:to>
      <xdr:col>4</xdr:col>
      <xdr:colOff>609600</xdr:colOff>
      <xdr:row>32</xdr:row>
      <xdr:rowOff>0</xdr:rowOff>
    </xdr:to>
    <xdr:sp macro="" textlink="">
      <xdr:nvSpPr>
        <xdr:cNvPr id="237" name="Line 100">
          <a:extLst>
            <a:ext uri="{FF2B5EF4-FFF2-40B4-BE49-F238E27FC236}">
              <a16:creationId xmlns:a16="http://schemas.microsoft.com/office/drawing/2014/main" id="{B556D3F7-6A54-481F-91EA-1F2714D8305B}"/>
            </a:ext>
          </a:extLst>
        </xdr:cNvPr>
        <xdr:cNvSpPr>
          <a:spLocks noChangeShapeType="1"/>
        </xdr:cNvSpPr>
      </xdr:nvSpPr>
      <xdr:spPr bwMode="auto">
        <a:xfrm flipV="1">
          <a:off x="3124200" y="547878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590550</xdr:colOff>
      <xdr:row>32</xdr:row>
      <xdr:rowOff>0</xdr:rowOff>
    </xdr:from>
    <xdr:to>
      <xdr:col>2</xdr:col>
      <xdr:colOff>590550</xdr:colOff>
      <xdr:row>32</xdr:row>
      <xdr:rowOff>0</xdr:rowOff>
    </xdr:to>
    <xdr:sp macro="" textlink="">
      <xdr:nvSpPr>
        <xdr:cNvPr id="239" name="Line 106">
          <a:extLst>
            <a:ext uri="{FF2B5EF4-FFF2-40B4-BE49-F238E27FC236}">
              <a16:creationId xmlns:a16="http://schemas.microsoft.com/office/drawing/2014/main" id="{F4C60C06-8083-4EB6-8A48-C9FD37552E31}"/>
            </a:ext>
          </a:extLst>
        </xdr:cNvPr>
        <xdr:cNvSpPr>
          <a:spLocks noChangeShapeType="1"/>
        </xdr:cNvSpPr>
      </xdr:nvSpPr>
      <xdr:spPr bwMode="auto">
        <a:xfrm>
          <a:off x="1840230" y="547878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590550</xdr:colOff>
      <xdr:row>32</xdr:row>
      <xdr:rowOff>0</xdr:rowOff>
    </xdr:from>
    <xdr:to>
      <xdr:col>2</xdr:col>
      <xdr:colOff>590550</xdr:colOff>
      <xdr:row>32</xdr:row>
      <xdr:rowOff>0</xdr:rowOff>
    </xdr:to>
    <xdr:sp macro="" textlink="">
      <xdr:nvSpPr>
        <xdr:cNvPr id="240" name="Line 109">
          <a:extLst>
            <a:ext uri="{FF2B5EF4-FFF2-40B4-BE49-F238E27FC236}">
              <a16:creationId xmlns:a16="http://schemas.microsoft.com/office/drawing/2014/main" id="{F3EAA2AA-E7C7-4DE9-ADD6-BCFCFBBA8630}"/>
            </a:ext>
          </a:extLst>
        </xdr:cNvPr>
        <xdr:cNvSpPr>
          <a:spLocks noChangeShapeType="1"/>
        </xdr:cNvSpPr>
      </xdr:nvSpPr>
      <xdr:spPr bwMode="auto">
        <a:xfrm>
          <a:off x="1840230" y="547878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374196</xdr:colOff>
      <xdr:row>40</xdr:row>
      <xdr:rowOff>19050</xdr:rowOff>
    </xdr:from>
    <xdr:to>
      <xdr:col>5</xdr:col>
      <xdr:colOff>431346</xdr:colOff>
      <xdr:row>40</xdr:row>
      <xdr:rowOff>85725</xdr:rowOff>
    </xdr:to>
    <xdr:sp macro="" textlink="">
      <xdr:nvSpPr>
        <xdr:cNvPr id="241" name="Arc 133">
          <a:extLst>
            <a:ext uri="{FF2B5EF4-FFF2-40B4-BE49-F238E27FC236}">
              <a16:creationId xmlns:a16="http://schemas.microsoft.com/office/drawing/2014/main" id="{D45A79F4-CEF9-47F6-B927-32F4956F7213}"/>
            </a:ext>
          </a:extLst>
        </xdr:cNvPr>
        <xdr:cNvSpPr>
          <a:spLocks/>
        </xdr:cNvSpPr>
      </xdr:nvSpPr>
      <xdr:spPr bwMode="auto">
        <a:xfrm>
          <a:off x="3190875" y="7407729"/>
          <a:ext cx="5715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0</xdr:colOff>
      <xdr:row>39</xdr:row>
      <xdr:rowOff>19050</xdr:rowOff>
    </xdr:from>
    <xdr:to>
      <xdr:col>3</xdr:col>
      <xdr:colOff>0</xdr:colOff>
      <xdr:row>39</xdr:row>
      <xdr:rowOff>85725</xdr:rowOff>
    </xdr:to>
    <xdr:sp macro="" textlink="">
      <xdr:nvSpPr>
        <xdr:cNvPr id="242" name="Arc 134">
          <a:extLst>
            <a:ext uri="{FF2B5EF4-FFF2-40B4-BE49-F238E27FC236}">
              <a16:creationId xmlns:a16="http://schemas.microsoft.com/office/drawing/2014/main" id="{E2B8E806-7740-449F-BFF6-3A8E1BA1D567}"/>
            </a:ext>
          </a:extLst>
        </xdr:cNvPr>
        <xdr:cNvSpPr>
          <a:spLocks/>
        </xdr:cNvSpPr>
      </xdr:nvSpPr>
      <xdr:spPr bwMode="auto">
        <a:xfrm>
          <a:off x="1874520" y="6777990"/>
          <a:ext cx="0" cy="66675"/>
        </a:xfrm>
        <a:custGeom>
          <a:avLst/>
          <a:gdLst>
            <a:gd name="T0" fmla="*/ 1 w 43200"/>
            <a:gd name="T1" fmla="*/ 0 h 43200"/>
            <a:gd name="T2" fmla="*/ 0 w 43200"/>
            <a:gd name="T3" fmla="*/ 168 h 43200"/>
            <a:gd name="T4" fmla="*/ 1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295275</xdr:colOff>
      <xdr:row>34</xdr:row>
      <xdr:rowOff>85725</xdr:rowOff>
    </xdr:from>
    <xdr:to>
      <xdr:col>2</xdr:col>
      <xdr:colOff>352425</xdr:colOff>
      <xdr:row>34</xdr:row>
      <xdr:rowOff>142875</xdr:rowOff>
    </xdr:to>
    <xdr:sp macro="" textlink="">
      <xdr:nvSpPr>
        <xdr:cNvPr id="244" name="Arc 153">
          <a:extLst>
            <a:ext uri="{FF2B5EF4-FFF2-40B4-BE49-F238E27FC236}">
              <a16:creationId xmlns:a16="http://schemas.microsoft.com/office/drawing/2014/main" id="{E5452E20-A584-4F0E-A6BE-62CAC010A084}"/>
            </a:ext>
          </a:extLst>
        </xdr:cNvPr>
        <xdr:cNvSpPr>
          <a:spLocks/>
        </xdr:cNvSpPr>
      </xdr:nvSpPr>
      <xdr:spPr bwMode="auto">
        <a:xfrm>
          <a:off x="1544955" y="593026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95250</xdr:colOff>
      <xdr:row>32</xdr:row>
      <xdr:rowOff>76200</xdr:rowOff>
    </xdr:from>
    <xdr:to>
      <xdr:col>2</xdr:col>
      <xdr:colOff>152400</xdr:colOff>
      <xdr:row>32</xdr:row>
      <xdr:rowOff>133350</xdr:rowOff>
    </xdr:to>
    <xdr:sp macro="" textlink="">
      <xdr:nvSpPr>
        <xdr:cNvPr id="245" name="Arc 154">
          <a:extLst>
            <a:ext uri="{FF2B5EF4-FFF2-40B4-BE49-F238E27FC236}">
              <a16:creationId xmlns:a16="http://schemas.microsoft.com/office/drawing/2014/main" id="{5D7B207A-AFAB-47BC-B8E0-622AA6D7F7DA}"/>
            </a:ext>
          </a:extLst>
        </xdr:cNvPr>
        <xdr:cNvSpPr>
          <a:spLocks/>
        </xdr:cNvSpPr>
      </xdr:nvSpPr>
      <xdr:spPr bwMode="auto">
        <a:xfrm>
          <a:off x="1344930" y="555498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285750</xdr:colOff>
      <xdr:row>37</xdr:row>
      <xdr:rowOff>142875</xdr:rowOff>
    </xdr:from>
    <xdr:to>
      <xdr:col>2</xdr:col>
      <xdr:colOff>342900</xdr:colOff>
      <xdr:row>38</xdr:row>
      <xdr:rowOff>38100</xdr:rowOff>
    </xdr:to>
    <xdr:sp macro="" textlink="">
      <xdr:nvSpPr>
        <xdr:cNvPr id="246" name="Arc 155">
          <a:extLst>
            <a:ext uri="{FF2B5EF4-FFF2-40B4-BE49-F238E27FC236}">
              <a16:creationId xmlns:a16="http://schemas.microsoft.com/office/drawing/2014/main" id="{672E97F2-CBB5-4183-8B02-BF0A8ED12B1A}"/>
            </a:ext>
          </a:extLst>
        </xdr:cNvPr>
        <xdr:cNvSpPr>
          <a:spLocks/>
        </xdr:cNvSpPr>
      </xdr:nvSpPr>
      <xdr:spPr bwMode="auto">
        <a:xfrm>
          <a:off x="1535430" y="653605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104775</xdr:colOff>
      <xdr:row>34</xdr:row>
      <xdr:rowOff>85725</xdr:rowOff>
    </xdr:from>
    <xdr:to>
      <xdr:col>2</xdr:col>
      <xdr:colOff>161925</xdr:colOff>
      <xdr:row>34</xdr:row>
      <xdr:rowOff>142875</xdr:rowOff>
    </xdr:to>
    <xdr:sp macro="" textlink="">
      <xdr:nvSpPr>
        <xdr:cNvPr id="247" name="Arc 157">
          <a:extLst>
            <a:ext uri="{FF2B5EF4-FFF2-40B4-BE49-F238E27FC236}">
              <a16:creationId xmlns:a16="http://schemas.microsoft.com/office/drawing/2014/main" id="{7DCC3F9A-FC5A-4FAF-B008-0C810F82E719}"/>
            </a:ext>
          </a:extLst>
        </xdr:cNvPr>
        <xdr:cNvSpPr>
          <a:spLocks/>
        </xdr:cNvSpPr>
      </xdr:nvSpPr>
      <xdr:spPr bwMode="auto">
        <a:xfrm>
          <a:off x="1354455" y="593026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285750</xdr:colOff>
      <xdr:row>32</xdr:row>
      <xdr:rowOff>76200</xdr:rowOff>
    </xdr:from>
    <xdr:to>
      <xdr:col>2</xdr:col>
      <xdr:colOff>342900</xdr:colOff>
      <xdr:row>32</xdr:row>
      <xdr:rowOff>133350</xdr:rowOff>
    </xdr:to>
    <xdr:sp macro="" textlink="">
      <xdr:nvSpPr>
        <xdr:cNvPr id="248" name="Arc 159">
          <a:extLst>
            <a:ext uri="{FF2B5EF4-FFF2-40B4-BE49-F238E27FC236}">
              <a16:creationId xmlns:a16="http://schemas.microsoft.com/office/drawing/2014/main" id="{0FB4FF8E-EFD8-46D2-8259-FC5BB8E247F5}"/>
            </a:ext>
          </a:extLst>
        </xdr:cNvPr>
        <xdr:cNvSpPr>
          <a:spLocks/>
        </xdr:cNvSpPr>
      </xdr:nvSpPr>
      <xdr:spPr bwMode="auto">
        <a:xfrm>
          <a:off x="1535430" y="555498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295275</xdr:colOff>
      <xdr:row>30</xdr:row>
      <xdr:rowOff>76200</xdr:rowOff>
    </xdr:from>
    <xdr:to>
      <xdr:col>2</xdr:col>
      <xdr:colOff>352425</xdr:colOff>
      <xdr:row>30</xdr:row>
      <xdr:rowOff>133350</xdr:rowOff>
    </xdr:to>
    <xdr:sp macro="" textlink="">
      <xdr:nvSpPr>
        <xdr:cNvPr id="249" name="Arc 160">
          <a:extLst>
            <a:ext uri="{FF2B5EF4-FFF2-40B4-BE49-F238E27FC236}">
              <a16:creationId xmlns:a16="http://schemas.microsoft.com/office/drawing/2014/main" id="{46763A9B-1838-4674-A597-67031D794FD0}"/>
            </a:ext>
          </a:extLst>
        </xdr:cNvPr>
        <xdr:cNvSpPr>
          <a:spLocks/>
        </xdr:cNvSpPr>
      </xdr:nvSpPr>
      <xdr:spPr bwMode="auto">
        <a:xfrm>
          <a:off x="1544955" y="518922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304800</xdr:colOff>
      <xdr:row>30</xdr:row>
      <xdr:rowOff>95250</xdr:rowOff>
    </xdr:from>
    <xdr:to>
      <xdr:col>7</xdr:col>
      <xdr:colOff>361950</xdr:colOff>
      <xdr:row>30</xdr:row>
      <xdr:rowOff>152400</xdr:rowOff>
    </xdr:to>
    <xdr:sp macro="" textlink="">
      <xdr:nvSpPr>
        <xdr:cNvPr id="250" name="Arc 166">
          <a:extLst>
            <a:ext uri="{FF2B5EF4-FFF2-40B4-BE49-F238E27FC236}">
              <a16:creationId xmlns:a16="http://schemas.microsoft.com/office/drawing/2014/main" id="{72646F10-50F5-42A0-9CAA-86189AABBAEB}"/>
            </a:ext>
          </a:extLst>
        </xdr:cNvPr>
        <xdr:cNvSpPr>
          <a:spLocks/>
        </xdr:cNvSpPr>
      </xdr:nvSpPr>
      <xdr:spPr bwMode="auto">
        <a:xfrm>
          <a:off x="4678680" y="520827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495300</xdr:colOff>
      <xdr:row>30</xdr:row>
      <xdr:rowOff>95250</xdr:rowOff>
    </xdr:from>
    <xdr:to>
      <xdr:col>7</xdr:col>
      <xdr:colOff>552450</xdr:colOff>
      <xdr:row>30</xdr:row>
      <xdr:rowOff>152400</xdr:rowOff>
    </xdr:to>
    <xdr:sp macro="" textlink="">
      <xdr:nvSpPr>
        <xdr:cNvPr id="251" name="Arc 167">
          <a:extLst>
            <a:ext uri="{FF2B5EF4-FFF2-40B4-BE49-F238E27FC236}">
              <a16:creationId xmlns:a16="http://schemas.microsoft.com/office/drawing/2014/main" id="{F466CB30-587F-4173-9AE0-27C0F051E10B}"/>
            </a:ext>
          </a:extLst>
        </xdr:cNvPr>
        <xdr:cNvSpPr>
          <a:spLocks/>
        </xdr:cNvSpPr>
      </xdr:nvSpPr>
      <xdr:spPr bwMode="auto">
        <a:xfrm>
          <a:off x="4869180" y="520827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304800</xdr:colOff>
      <xdr:row>32</xdr:row>
      <xdr:rowOff>76200</xdr:rowOff>
    </xdr:from>
    <xdr:to>
      <xdr:col>7</xdr:col>
      <xdr:colOff>361950</xdr:colOff>
      <xdr:row>32</xdr:row>
      <xdr:rowOff>133350</xdr:rowOff>
    </xdr:to>
    <xdr:sp macro="" textlink="">
      <xdr:nvSpPr>
        <xdr:cNvPr id="252" name="Arc 168">
          <a:extLst>
            <a:ext uri="{FF2B5EF4-FFF2-40B4-BE49-F238E27FC236}">
              <a16:creationId xmlns:a16="http://schemas.microsoft.com/office/drawing/2014/main" id="{C4A2B074-01D9-4B0D-A428-1C39895EFC32}"/>
            </a:ext>
          </a:extLst>
        </xdr:cNvPr>
        <xdr:cNvSpPr>
          <a:spLocks/>
        </xdr:cNvSpPr>
      </xdr:nvSpPr>
      <xdr:spPr bwMode="auto">
        <a:xfrm>
          <a:off x="4678680" y="555498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485775</xdr:colOff>
      <xdr:row>32</xdr:row>
      <xdr:rowOff>76200</xdr:rowOff>
    </xdr:from>
    <xdr:to>
      <xdr:col>7</xdr:col>
      <xdr:colOff>542925</xdr:colOff>
      <xdr:row>32</xdr:row>
      <xdr:rowOff>133350</xdr:rowOff>
    </xdr:to>
    <xdr:sp macro="" textlink="">
      <xdr:nvSpPr>
        <xdr:cNvPr id="253" name="Arc 169">
          <a:extLst>
            <a:ext uri="{FF2B5EF4-FFF2-40B4-BE49-F238E27FC236}">
              <a16:creationId xmlns:a16="http://schemas.microsoft.com/office/drawing/2014/main" id="{A12DFD65-10A8-4E9A-B245-CDEB351073BB}"/>
            </a:ext>
          </a:extLst>
        </xdr:cNvPr>
        <xdr:cNvSpPr>
          <a:spLocks/>
        </xdr:cNvSpPr>
      </xdr:nvSpPr>
      <xdr:spPr bwMode="auto">
        <a:xfrm>
          <a:off x="4859655" y="555498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295275</xdr:colOff>
      <xdr:row>34</xdr:row>
      <xdr:rowOff>57150</xdr:rowOff>
    </xdr:from>
    <xdr:to>
      <xdr:col>7</xdr:col>
      <xdr:colOff>352425</xdr:colOff>
      <xdr:row>34</xdr:row>
      <xdr:rowOff>114300</xdr:rowOff>
    </xdr:to>
    <xdr:sp macro="" textlink="">
      <xdr:nvSpPr>
        <xdr:cNvPr id="254" name="Arc 170">
          <a:extLst>
            <a:ext uri="{FF2B5EF4-FFF2-40B4-BE49-F238E27FC236}">
              <a16:creationId xmlns:a16="http://schemas.microsoft.com/office/drawing/2014/main" id="{5BD3E31D-09CB-40C7-BFB7-BE8EA48ABA55}"/>
            </a:ext>
          </a:extLst>
        </xdr:cNvPr>
        <xdr:cNvSpPr>
          <a:spLocks/>
        </xdr:cNvSpPr>
      </xdr:nvSpPr>
      <xdr:spPr bwMode="auto">
        <a:xfrm>
          <a:off x="4669155" y="590169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476250</xdr:colOff>
      <xdr:row>34</xdr:row>
      <xdr:rowOff>76200</xdr:rowOff>
    </xdr:from>
    <xdr:to>
      <xdr:col>7</xdr:col>
      <xdr:colOff>533400</xdr:colOff>
      <xdr:row>34</xdr:row>
      <xdr:rowOff>133350</xdr:rowOff>
    </xdr:to>
    <xdr:sp macro="" textlink="">
      <xdr:nvSpPr>
        <xdr:cNvPr id="255" name="Arc 171">
          <a:extLst>
            <a:ext uri="{FF2B5EF4-FFF2-40B4-BE49-F238E27FC236}">
              <a16:creationId xmlns:a16="http://schemas.microsoft.com/office/drawing/2014/main" id="{315AFF36-EA4F-45AB-9A76-E5AEB86C2189}"/>
            </a:ext>
          </a:extLst>
        </xdr:cNvPr>
        <xdr:cNvSpPr>
          <a:spLocks/>
        </xdr:cNvSpPr>
      </xdr:nvSpPr>
      <xdr:spPr bwMode="auto">
        <a:xfrm>
          <a:off x="4850130" y="592074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295275</xdr:colOff>
      <xdr:row>36</xdr:row>
      <xdr:rowOff>38100</xdr:rowOff>
    </xdr:from>
    <xdr:to>
      <xdr:col>7</xdr:col>
      <xdr:colOff>352425</xdr:colOff>
      <xdr:row>36</xdr:row>
      <xdr:rowOff>95250</xdr:rowOff>
    </xdr:to>
    <xdr:sp macro="" textlink="">
      <xdr:nvSpPr>
        <xdr:cNvPr id="256" name="Arc 172">
          <a:extLst>
            <a:ext uri="{FF2B5EF4-FFF2-40B4-BE49-F238E27FC236}">
              <a16:creationId xmlns:a16="http://schemas.microsoft.com/office/drawing/2014/main" id="{2E2A8D66-E004-4FD9-A6A5-BE81DE86CC7F}"/>
            </a:ext>
          </a:extLst>
        </xdr:cNvPr>
        <xdr:cNvSpPr>
          <a:spLocks/>
        </xdr:cNvSpPr>
      </xdr:nvSpPr>
      <xdr:spPr bwMode="auto">
        <a:xfrm>
          <a:off x="4669155" y="624840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295275</xdr:colOff>
      <xdr:row>38</xdr:row>
      <xdr:rowOff>0</xdr:rowOff>
    </xdr:from>
    <xdr:to>
      <xdr:col>7</xdr:col>
      <xdr:colOff>352425</xdr:colOff>
      <xdr:row>38</xdr:row>
      <xdr:rowOff>57150</xdr:rowOff>
    </xdr:to>
    <xdr:sp macro="" textlink="">
      <xdr:nvSpPr>
        <xdr:cNvPr id="257" name="Arc 173">
          <a:extLst>
            <a:ext uri="{FF2B5EF4-FFF2-40B4-BE49-F238E27FC236}">
              <a16:creationId xmlns:a16="http://schemas.microsoft.com/office/drawing/2014/main" id="{67DF50A5-41B2-4E41-AB62-D460B32181BA}"/>
            </a:ext>
          </a:extLst>
        </xdr:cNvPr>
        <xdr:cNvSpPr>
          <a:spLocks/>
        </xdr:cNvSpPr>
      </xdr:nvSpPr>
      <xdr:spPr bwMode="auto">
        <a:xfrm>
          <a:off x="4669155" y="657606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476250</xdr:colOff>
      <xdr:row>36</xdr:row>
      <xdr:rowOff>47625</xdr:rowOff>
    </xdr:from>
    <xdr:to>
      <xdr:col>7</xdr:col>
      <xdr:colOff>533400</xdr:colOff>
      <xdr:row>36</xdr:row>
      <xdr:rowOff>104775</xdr:rowOff>
    </xdr:to>
    <xdr:sp macro="" textlink="">
      <xdr:nvSpPr>
        <xdr:cNvPr id="258" name="Arc 174">
          <a:extLst>
            <a:ext uri="{FF2B5EF4-FFF2-40B4-BE49-F238E27FC236}">
              <a16:creationId xmlns:a16="http://schemas.microsoft.com/office/drawing/2014/main" id="{4D90EEB8-901B-459B-BCF9-E5C5A21EEBE8}"/>
            </a:ext>
          </a:extLst>
        </xdr:cNvPr>
        <xdr:cNvSpPr>
          <a:spLocks/>
        </xdr:cNvSpPr>
      </xdr:nvSpPr>
      <xdr:spPr bwMode="auto">
        <a:xfrm>
          <a:off x="4850130" y="625792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495300</xdr:colOff>
      <xdr:row>38</xdr:row>
      <xdr:rowOff>0</xdr:rowOff>
    </xdr:from>
    <xdr:to>
      <xdr:col>7</xdr:col>
      <xdr:colOff>552450</xdr:colOff>
      <xdr:row>38</xdr:row>
      <xdr:rowOff>57150</xdr:rowOff>
    </xdr:to>
    <xdr:sp macro="" textlink="">
      <xdr:nvSpPr>
        <xdr:cNvPr id="259" name="Arc 175">
          <a:extLst>
            <a:ext uri="{FF2B5EF4-FFF2-40B4-BE49-F238E27FC236}">
              <a16:creationId xmlns:a16="http://schemas.microsoft.com/office/drawing/2014/main" id="{C425037E-8D96-4D5B-AD0F-D99AADA9452A}"/>
            </a:ext>
          </a:extLst>
        </xdr:cNvPr>
        <xdr:cNvSpPr>
          <a:spLocks/>
        </xdr:cNvSpPr>
      </xdr:nvSpPr>
      <xdr:spPr bwMode="auto">
        <a:xfrm>
          <a:off x="4869180" y="657606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285750</xdr:colOff>
      <xdr:row>36</xdr:row>
      <xdr:rowOff>47625</xdr:rowOff>
    </xdr:from>
    <xdr:to>
      <xdr:col>2</xdr:col>
      <xdr:colOff>342900</xdr:colOff>
      <xdr:row>36</xdr:row>
      <xdr:rowOff>104775</xdr:rowOff>
    </xdr:to>
    <xdr:sp macro="" textlink="">
      <xdr:nvSpPr>
        <xdr:cNvPr id="260" name="Arc 176">
          <a:extLst>
            <a:ext uri="{FF2B5EF4-FFF2-40B4-BE49-F238E27FC236}">
              <a16:creationId xmlns:a16="http://schemas.microsoft.com/office/drawing/2014/main" id="{FB06CC96-DDE9-4B56-BF76-7EF9EF70D659}"/>
            </a:ext>
          </a:extLst>
        </xdr:cNvPr>
        <xdr:cNvSpPr>
          <a:spLocks/>
        </xdr:cNvSpPr>
      </xdr:nvSpPr>
      <xdr:spPr bwMode="auto">
        <a:xfrm>
          <a:off x="1535430" y="625792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95250</xdr:colOff>
      <xdr:row>36</xdr:row>
      <xdr:rowOff>47625</xdr:rowOff>
    </xdr:from>
    <xdr:to>
      <xdr:col>2</xdr:col>
      <xdr:colOff>152400</xdr:colOff>
      <xdr:row>36</xdr:row>
      <xdr:rowOff>104775</xdr:rowOff>
    </xdr:to>
    <xdr:sp macro="" textlink="">
      <xdr:nvSpPr>
        <xdr:cNvPr id="261" name="Arc 177">
          <a:extLst>
            <a:ext uri="{FF2B5EF4-FFF2-40B4-BE49-F238E27FC236}">
              <a16:creationId xmlns:a16="http://schemas.microsoft.com/office/drawing/2014/main" id="{45C7A6E1-528A-4F99-B9C3-F2620185E0AD}"/>
            </a:ext>
          </a:extLst>
        </xdr:cNvPr>
        <xdr:cNvSpPr>
          <a:spLocks/>
        </xdr:cNvSpPr>
      </xdr:nvSpPr>
      <xdr:spPr bwMode="auto">
        <a:xfrm>
          <a:off x="1344930" y="625792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104775</xdr:colOff>
      <xdr:row>37</xdr:row>
      <xdr:rowOff>142875</xdr:rowOff>
    </xdr:from>
    <xdr:to>
      <xdr:col>2</xdr:col>
      <xdr:colOff>161925</xdr:colOff>
      <xdr:row>38</xdr:row>
      <xdr:rowOff>38100</xdr:rowOff>
    </xdr:to>
    <xdr:sp macro="" textlink="">
      <xdr:nvSpPr>
        <xdr:cNvPr id="262" name="Arc 178">
          <a:extLst>
            <a:ext uri="{FF2B5EF4-FFF2-40B4-BE49-F238E27FC236}">
              <a16:creationId xmlns:a16="http://schemas.microsoft.com/office/drawing/2014/main" id="{1B33A294-0D1D-410A-A9CE-31BAA1123AB7}"/>
            </a:ext>
          </a:extLst>
        </xdr:cNvPr>
        <xdr:cNvSpPr>
          <a:spLocks/>
        </xdr:cNvSpPr>
      </xdr:nvSpPr>
      <xdr:spPr bwMode="auto">
        <a:xfrm>
          <a:off x="1354455" y="653605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361950</xdr:colOff>
      <xdr:row>30</xdr:row>
      <xdr:rowOff>57150</xdr:rowOff>
    </xdr:from>
    <xdr:to>
      <xdr:col>2</xdr:col>
      <xdr:colOff>361950</xdr:colOff>
      <xdr:row>40</xdr:row>
      <xdr:rowOff>57150</xdr:rowOff>
    </xdr:to>
    <xdr:sp macro="" textlink="">
      <xdr:nvSpPr>
        <xdr:cNvPr id="263" name="Line 285">
          <a:extLst>
            <a:ext uri="{FF2B5EF4-FFF2-40B4-BE49-F238E27FC236}">
              <a16:creationId xmlns:a16="http://schemas.microsoft.com/office/drawing/2014/main" id="{B39D82BA-1CEA-4E0A-9DB5-B21F166B2126}"/>
            </a:ext>
          </a:extLst>
        </xdr:cNvPr>
        <xdr:cNvSpPr>
          <a:spLocks noChangeShapeType="1"/>
        </xdr:cNvSpPr>
      </xdr:nvSpPr>
      <xdr:spPr bwMode="auto">
        <a:xfrm>
          <a:off x="1611630" y="5170170"/>
          <a:ext cx="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295275</xdr:colOff>
      <xdr:row>30</xdr:row>
      <xdr:rowOff>76200</xdr:rowOff>
    </xdr:from>
    <xdr:to>
      <xdr:col>7</xdr:col>
      <xdr:colOff>295275</xdr:colOff>
      <xdr:row>40</xdr:row>
      <xdr:rowOff>57150</xdr:rowOff>
    </xdr:to>
    <xdr:sp macro="" textlink="">
      <xdr:nvSpPr>
        <xdr:cNvPr id="264" name="Line 288">
          <a:extLst>
            <a:ext uri="{FF2B5EF4-FFF2-40B4-BE49-F238E27FC236}">
              <a16:creationId xmlns:a16="http://schemas.microsoft.com/office/drawing/2014/main" id="{5855137D-B9A1-4722-A34F-CE6533577B0A}"/>
            </a:ext>
          </a:extLst>
        </xdr:cNvPr>
        <xdr:cNvSpPr>
          <a:spLocks noChangeShapeType="1"/>
        </xdr:cNvSpPr>
      </xdr:nvSpPr>
      <xdr:spPr bwMode="auto">
        <a:xfrm>
          <a:off x="4669155" y="5189220"/>
          <a:ext cx="0" cy="18097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552450</xdr:colOff>
      <xdr:row>40</xdr:row>
      <xdr:rowOff>47625</xdr:rowOff>
    </xdr:from>
    <xdr:to>
      <xdr:col>3</xdr:col>
      <xdr:colOff>0</xdr:colOff>
      <xdr:row>40</xdr:row>
      <xdr:rowOff>114300</xdr:rowOff>
    </xdr:to>
    <xdr:sp macro="" textlink="">
      <xdr:nvSpPr>
        <xdr:cNvPr id="265" name="Arc 356">
          <a:extLst>
            <a:ext uri="{FF2B5EF4-FFF2-40B4-BE49-F238E27FC236}">
              <a16:creationId xmlns:a16="http://schemas.microsoft.com/office/drawing/2014/main" id="{4871ED7B-77E5-41F1-87FB-329EE5D72B29}"/>
            </a:ext>
          </a:extLst>
        </xdr:cNvPr>
        <xdr:cNvSpPr>
          <a:spLocks/>
        </xdr:cNvSpPr>
      </xdr:nvSpPr>
      <xdr:spPr bwMode="auto">
        <a:xfrm>
          <a:off x="1802130" y="6989445"/>
          <a:ext cx="7239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38100</xdr:colOff>
      <xdr:row>40</xdr:row>
      <xdr:rowOff>28575</xdr:rowOff>
    </xdr:from>
    <xdr:to>
      <xdr:col>7</xdr:col>
      <xdr:colOff>95250</xdr:colOff>
      <xdr:row>40</xdr:row>
      <xdr:rowOff>95250</xdr:rowOff>
    </xdr:to>
    <xdr:sp macro="" textlink="">
      <xdr:nvSpPr>
        <xdr:cNvPr id="266" name="Arc 361">
          <a:extLst>
            <a:ext uri="{FF2B5EF4-FFF2-40B4-BE49-F238E27FC236}">
              <a16:creationId xmlns:a16="http://schemas.microsoft.com/office/drawing/2014/main" id="{A19A7E03-C5F6-4E5F-A434-5D2D9E6D6405}"/>
            </a:ext>
          </a:extLst>
        </xdr:cNvPr>
        <xdr:cNvSpPr>
          <a:spLocks/>
        </xdr:cNvSpPr>
      </xdr:nvSpPr>
      <xdr:spPr bwMode="auto">
        <a:xfrm>
          <a:off x="4411980" y="6970395"/>
          <a:ext cx="57150" cy="66675"/>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304800</xdr:colOff>
      <xdr:row>38</xdr:row>
      <xdr:rowOff>114300</xdr:rowOff>
    </xdr:from>
    <xdr:to>
      <xdr:col>7</xdr:col>
      <xdr:colOff>361950</xdr:colOff>
      <xdr:row>39</xdr:row>
      <xdr:rowOff>19050</xdr:rowOff>
    </xdr:to>
    <xdr:sp macro="" textlink="">
      <xdr:nvSpPr>
        <xdr:cNvPr id="267" name="Arc 362">
          <a:extLst>
            <a:ext uri="{FF2B5EF4-FFF2-40B4-BE49-F238E27FC236}">
              <a16:creationId xmlns:a16="http://schemas.microsoft.com/office/drawing/2014/main" id="{7D4EE7C1-F2D1-4225-8025-2626DEF0C8C1}"/>
            </a:ext>
          </a:extLst>
        </xdr:cNvPr>
        <xdr:cNvSpPr>
          <a:spLocks/>
        </xdr:cNvSpPr>
      </xdr:nvSpPr>
      <xdr:spPr bwMode="auto">
        <a:xfrm>
          <a:off x="4678680" y="6690360"/>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295275</xdr:colOff>
      <xdr:row>38</xdr:row>
      <xdr:rowOff>104775</xdr:rowOff>
    </xdr:from>
    <xdr:to>
      <xdr:col>2</xdr:col>
      <xdr:colOff>352425</xdr:colOff>
      <xdr:row>39</xdr:row>
      <xdr:rowOff>9525</xdr:rowOff>
    </xdr:to>
    <xdr:sp macro="" textlink="">
      <xdr:nvSpPr>
        <xdr:cNvPr id="268" name="Arc 367">
          <a:extLst>
            <a:ext uri="{FF2B5EF4-FFF2-40B4-BE49-F238E27FC236}">
              <a16:creationId xmlns:a16="http://schemas.microsoft.com/office/drawing/2014/main" id="{C7B62930-7FD7-4E76-B81A-D9489C542566}"/>
            </a:ext>
          </a:extLst>
        </xdr:cNvPr>
        <xdr:cNvSpPr>
          <a:spLocks/>
        </xdr:cNvSpPr>
      </xdr:nvSpPr>
      <xdr:spPr bwMode="auto">
        <a:xfrm>
          <a:off x="1544955" y="6680835"/>
          <a:ext cx="57150" cy="87630"/>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76200</xdr:colOff>
      <xdr:row>30</xdr:row>
      <xdr:rowOff>57150</xdr:rowOff>
    </xdr:from>
    <xdr:to>
      <xdr:col>2</xdr:col>
      <xdr:colOff>161925</xdr:colOff>
      <xdr:row>30</xdr:row>
      <xdr:rowOff>57150</xdr:rowOff>
    </xdr:to>
    <xdr:sp macro="" textlink="">
      <xdr:nvSpPr>
        <xdr:cNvPr id="269" name="Line 368">
          <a:extLst>
            <a:ext uri="{FF2B5EF4-FFF2-40B4-BE49-F238E27FC236}">
              <a16:creationId xmlns:a16="http://schemas.microsoft.com/office/drawing/2014/main" id="{402DA2E2-6425-4660-BB2E-804821A1D0EE}"/>
            </a:ext>
          </a:extLst>
        </xdr:cNvPr>
        <xdr:cNvSpPr>
          <a:spLocks noChangeShapeType="1"/>
        </xdr:cNvSpPr>
      </xdr:nvSpPr>
      <xdr:spPr bwMode="auto">
        <a:xfrm>
          <a:off x="1325880" y="5170170"/>
          <a:ext cx="857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285750</xdr:colOff>
      <xdr:row>30</xdr:row>
      <xdr:rowOff>57150</xdr:rowOff>
    </xdr:from>
    <xdr:to>
      <xdr:col>2</xdr:col>
      <xdr:colOff>361950</xdr:colOff>
      <xdr:row>30</xdr:row>
      <xdr:rowOff>57150</xdr:rowOff>
    </xdr:to>
    <xdr:sp macro="" textlink="">
      <xdr:nvSpPr>
        <xdr:cNvPr id="270" name="Line 369">
          <a:extLst>
            <a:ext uri="{FF2B5EF4-FFF2-40B4-BE49-F238E27FC236}">
              <a16:creationId xmlns:a16="http://schemas.microsoft.com/office/drawing/2014/main" id="{F17486D1-295C-43FB-8689-6394011CDEE4}"/>
            </a:ext>
          </a:extLst>
        </xdr:cNvPr>
        <xdr:cNvSpPr>
          <a:spLocks noChangeShapeType="1"/>
        </xdr:cNvSpPr>
      </xdr:nvSpPr>
      <xdr:spPr bwMode="auto">
        <a:xfrm>
          <a:off x="1535430" y="5170170"/>
          <a:ext cx="76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295275</xdr:colOff>
      <xdr:row>30</xdr:row>
      <xdr:rowOff>76200</xdr:rowOff>
    </xdr:from>
    <xdr:to>
      <xdr:col>7</xdr:col>
      <xdr:colOff>361950</xdr:colOff>
      <xdr:row>30</xdr:row>
      <xdr:rowOff>76200</xdr:rowOff>
    </xdr:to>
    <xdr:sp macro="" textlink="">
      <xdr:nvSpPr>
        <xdr:cNvPr id="271" name="Line 370">
          <a:extLst>
            <a:ext uri="{FF2B5EF4-FFF2-40B4-BE49-F238E27FC236}">
              <a16:creationId xmlns:a16="http://schemas.microsoft.com/office/drawing/2014/main" id="{2AF44CD8-17F3-4455-A390-E83B5AF9B7EA}"/>
            </a:ext>
          </a:extLst>
        </xdr:cNvPr>
        <xdr:cNvSpPr>
          <a:spLocks noChangeShapeType="1"/>
        </xdr:cNvSpPr>
      </xdr:nvSpPr>
      <xdr:spPr bwMode="auto">
        <a:xfrm>
          <a:off x="4669155" y="5189220"/>
          <a:ext cx="666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485775</xdr:colOff>
      <xdr:row>30</xdr:row>
      <xdr:rowOff>85725</xdr:rowOff>
    </xdr:from>
    <xdr:to>
      <xdr:col>7</xdr:col>
      <xdr:colOff>552450</xdr:colOff>
      <xdr:row>30</xdr:row>
      <xdr:rowOff>85725</xdr:rowOff>
    </xdr:to>
    <xdr:sp macro="" textlink="">
      <xdr:nvSpPr>
        <xdr:cNvPr id="272" name="Line 371">
          <a:extLst>
            <a:ext uri="{FF2B5EF4-FFF2-40B4-BE49-F238E27FC236}">
              <a16:creationId xmlns:a16="http://schemas.microsoft.com/office/drawing/2014/main" id="{58CF23B7-A002-4E3B-9522-B08C73E25133}"/>
            </a:ext>
          </a:extLst>
        </xdr:cNvPr>
        <xdr:cNvSpPr>
          <a:spLocks noChangeShapeType="1"/>
        </xdr:cNvSpPr>
      </xdr:nvSpPr>
      <xdr:spPr bwMode="auto">
        <a:xfrm>
          <a:off x="4859655" y="5198745"/>
          <a:ext cx="666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30</xdr:row>
      <xdr:rowOff>19050</xdr:rowOff>
    </xdr:from>
    <xdr:to>
      <xdr:col>2</xdr:col>
      <xdr:colOff>400050</xdr:colOff>
      <xdr:row>30</xdr:row>
      <xdr:rowOff>19050</xdr:rowOff>
    </xdr:to>
    <xdr:sp macro="" textlink="">
      <xdr:nvSpPr>
        <xdr:cNvPr id="275" name="Line 372">
          <a:extLst>
            <a:ext uri="{FF2B5EF4-FFF2-40B4-BE49-F238E27FC236}">
              <a16:creationId xmlns:a16="http://schemas.microsoft.com/office/drawing/2014/main" id="{F163A66F-F7EC-4B40-9143-44BEE59C9085}"/>
            </a:ext>
          </a:extLst>
        </xdr:cNvPr>
        <xdr:cNvSpPr>
          <a:spLocks noChangeShapeType="1"/>
        </xdr:cNvSpPr>
      </xdr:nvSpPr>
      <xdr:spPr bwMode="auto">
        <a:xfrm>
          <a:off x="1268730" y="513207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295777</xdr:colOff>
      <xdr:row>30</xdr:row>
      <xdr:rowOff>72690</xdr:rowOff>
    </xdr:from>
    <xdr:to>
      <xdr:col>2</xdr:col>
      <xdr:colOff>352927</xdr:colOff>
      <xdr:row>30</xdr:row>
      <xdr:rowOff>152400</xdr:rowOff>
    </xdr:to>
    <xdr:sp macro="" textlink="">
      <xdr:nvSpPr>
        <xdr:cNvPr id="276" name="Arc 379">
          <a:extLst>
            <a:ext uri="{FF2B5EF4-FFF2-40B4-BE49-F238E27FC236}">
              <a16:creationId xmlns:a16="http://schemas.microsoft.com/office/drawing/2014/main" id="{EAE01862-A779-4B1C-BC01-CDBA7235B115}"/>
            </a:ext>
          </a:extLst>
        </xdr:cNvPr>
        <xdr:cNvSpPr>
          <a:spLocks/>
        </xdr:cNvSpPr>
      </xdr:nvSpPr>
      <xdr:spPr bwMode="auto">
        <a:xfrm>
          <a:off x="3391903" y="5647322"/>
          <a:ext cx="57150" cy="7971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xdr:col>
      <xdr:colOff>361950</xdr:colOff>
      <xdr:row>30</xdr:row>
      <xdr:rowOff>38100</xdr:rowOff>
    </xdr:from>
    <xdr:to>
      <xdr:col>1</xdr:col>
      <xdr:colOff>590550</xdr:colOff>
      <xdr:row>30</xdr:row>
      <xdr:rowOff>38100</xdr:rowOff>
    </xdr:to>
    <xdr:sp macro="" textlink="">
      <xdr:nvSpPr>
        <xdr:cNvPr id="277" name="Line 424">
          <a:extLst>
            <a:ext uri="{FF2B5EF4-FFF2-40B4-BE49-F238E27FC236}">
              <a16:creationId xmlns:a16="http://schemas.microsoft.com/office/drawing/2014/main" id="{5ECB8F73-4936-4835-8DE7-72E7A52E7B38}"/>
            </a:ext>
          </a:extLst>
        </xdr:cNvPr>
        <xdr:cNvSpPr>
          <a:spLocks noChangeShapeType="1"/>
        </xdr:cNvSpPr>
      </xdr:nvSpPr>
      <xdr:spPr bwMode="auto">
        <a:xfrm>
          <a:off x="986790" y="5151120"/>
          <a:ext cx="228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504825</xdr:colOff>
      <xdr:row>30</xdr:row>
      <xdr:rowOff>28575</xdr:rowOff>
    </xdr:from>
    <xdr:to>
      <xdr:col>1</xdr:col>
      <xdr:colOff>504825</xdr:colOff>
      <xdr:row>32</xdr:row>
      <xdr:rowOff>123825</xdr:rowOff>
    </xdr:to>
    <xdr:sp macro="" textlink="">
      <xdr:nvSpPr>
        <xdr:cNvPr id="278" name="Line 426">
          <a:extLst>
            <a:ext uri="{FF2B5EF4-FFF2-40B4-BE49-F238E27FC236}">
              <a16:creationId xmlns:a16="http://schemas.microsoft.com/office/drawing/2014/main" id="{2715DC4C-73E7-4EEE-8EEB-047B79727715}"/>
            </a:ext>
          </a:extLst>
        </xdr:cNvPr>
        <xdr:cNvSpPr>
          <a:spLocks noChangeShapeType="1"/>
        </xdr:cNvSpPr>
      </xdr:nvSpPr>
      <xdr:spPr bwMode="auto">
        <a:xfrm flipV="1">
          <a:off x="1129665" y="5141595"/>
          <a:ext cx="0" cy="46101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495300</xdr:colOff>
      <xdr:row>34</xdr:row>
      <xdr:rowOff>57149</xdr:rowOff>
    </xdr:from>
    <xdr:to>
      <xdr:col>1</xdr:col>
      <xdr:colOff>513348</xdr:colOff>
      <xdr:row>39</xdr:row>
      <xdr:rowOff>787</xdr:rowOff>
    </xdr:to>
    <xdr:sp macro="" textlink="">
      <xdr:nvSpPr>
        <xdr:cNvPr id="279" name="Line 427">
          <a:extLst>
            <a:ext uri="{FF2B5EF4-FFF2-40B4-BE49-F238E27FC236}">
              <a16:creationId xmlns:a16="http://schemas.microsoft.com/office/drawing/2014/main" id="{65E8CC8C-B075-4860-9918-C5B87968F092}"/>
            </a:ext>
          </a:extLst>
        </xdr:cNvPr>
        <xdr:cNvSpPr>
          <a:spLocks noChangeShapeType="1"/>
        </xdr:cNvSpPr>
      </xdr:nvSpPr>
      <xdr:spPr bwMode="auto">
        <a:xfrm>
          <a:off x="3631746" y="6343649"/>
          <a:ext cx="18048" cy="862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76200</xdr:colOff>
      <xdr:row>40</xdr:row>
      <xdr:rowOff>19050</xdr:rowOff>
    </xdr:from>
    <xdr:to>
      <xdr:col>3</xdr:col>
      <xdr:colOff>409575</xdr:colOff>
      <xdr:row>40</xdr:row>
      <xdr:rowOff>19050</xdr:rowOff>
    </xdr:to>
    <xdr:sp macro="" textlink="">
      <xdr:nvSpPr>
        <xdr:cNvPr id="282" name="Line 477">
          <a:extLst>
            <a:ext uri="{FF2B5EF4-FFF2-40B4-BE49-F238E27FC236}">
              <a16:creationId xmlns:a16="http://schemas.microsoft.com/office/drawing/2014/main" id="{959DA59E-0E3B-49E6-A8EC-55105CAC7ECA}"/>
            </a:ext>
          </a:extLst>
        </xdr:cNvPr>
        <xdr:cNvSpPr>
          <a:spLocks noChangeShapeType="1"/>
        </xdr:cNvSpPr>
      </xdr:nvSpPr>
      <xdr:spPr bwMode="auto">
        <a:xfrm>
          <a:off x="3171825" y="7407729"/>
          <a:ext cx="95930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497304</xdr:colOff>
      <xdr:row>36</xdr:row>
      <xdr:rowOff>168442</xdr:rowOff>
    </xdr:from>
    <xdr:to>
      <xdr:col>5</xdr:col>
      <xdr:colOff>360946</xdr:colOff>
      <xdr:row>36</xdr:row>
      <xdr:rowOff>176462</xdr:rowOff>
    </xdr:to>
    <xdr:sp macro="" textlink="">
      <xdr:nvSpPr>
        <xdr:cNvPr id="283" name="Line 657">
          <a:extLst>
            <a:ext uri="{FF2B5EF4-FFF2-40B4-BE49-F238E27FC236}">
              <a16:creationId xmlns:a16="http://schemas.microsoft.com/office/drawing/2014/main" id="{1B7792B9-260A-4A55-94F3-DC74024BAEC8}"/>
            </a:ext>
          </a:extLst>
        </xdr:cNvPr>
        <xdr:cNvSpPr>
          <a:spLocks noChangeShapeType="1"/>
        </xdr:cNvSpPr>
      </xdr:nvSpPr>
      <xdr:spPr bwMode="auto">
        <a:xfrm flipH="1">
          <a:off x="3593430" y="6849979"/>
          <a:ext cx="1740569" cy="8020"/>
        </a:xfrm>
        <a:prstGeom prst="line">
          <a:avLst/>
        </a:prstGeom>
        <a:ln>
          <a:headEnd/>
          <a:tailEnd/>
        </a:ln>
      </xdr:spPr>
      <xdr:style>
        <a:lnRef idx="1">
          <a:schemeClr val="dk1"/>
        </a:lnRef>
        <a:fillRef idx="0">
          <a:schemeClr val="dk1"/>
        </a:fillRef>
        <a:effectRef idx="0">
          <a:schemeClr val="dk1"/>
        </a:effectRef>
        <a:fontRef idx="minor">
          <a:schemeClr val="tx1"/>
        </a:fontRef>
      </xdr:style>
      <xdr:txBody>
        <a:bodyPr/>
        <a:lstStyle/>
        <a:p>
          <a:endParaRPr lang="en-IN"/>
        </a:p>
      </xdr:txBody>
    </xdr:sp>
    <xdr:clientData/>
  </xdr:twoCellAnchor>
  <xdr:twoCellAnchor>
    <xdr:from>
      <xdr:col>2</xdr:col>
      <xdr:colOff>157843</xdr:colOff>
      <xdr:row>36</xdr:row>
      <xdr:rowOff>176893</xdr:rowOff>
    </xdr:from>
    <xdr:to>
      <xdr:col>2</xdr:col>
      <xdr:colOff>503464</xdr:colOff>
      <xdr:row>37</xdr:row>
      <xdr:rowOff>179615</xdr:rowOff>
    </xdr:to>
    <xdr:sp macro="" textlink="">
      <xdr:nvSpPr>
        <xdr:cNvPr id="284" name="Line 658">
          <a:extLst>
            <a:ext uri="{FF2B5EF4-FFF2-40B4-BE49-F238E27FC236}">
              <a16:creationId xmlns:a16="http://schemas.microsoft.com/office/drawing/2014/main" id="{CE7C9F84-DF9C-4701-ADC9-7C98E24AFB54}"/>
            </a:ext>
          </a:extLst>
        </xdr:cNvPr>
        <xdr:cNvSpPr>
          <a:spLocks noChangeShapeType="1"/>
        </xdr:cNvSpPr>
      </xdr:nvSpPr>
      <xdr:spPr bwMode="auto">
        <a:xfrm flipH="1">
          <a:off x="3253468" y="6830786"/>
          <a:ext cx="345621" cy="18641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104775</xdr:colOff>
      <xdr:row>36</xdr:row>
      <xdr:rowOff>95250</xdr:rowOff>
    </xdr:from>
    <xdr:to>
      <xdr:col>2</xdr:col>
      <xdr:colOff>180975</xdr:colOff>
      <xdr:row>36</xdr:row>
      <xdr:rowOff>152400</xdr:rowOff>
    </xdr:to>
    <xdr:sp macro="" textlink="">
      <xdr:nvSpPr>
        <xdr:cNvPr id="285" name="Line 659">
          <a:extLst>
            <a:ext uri="{FF2B5EF4-FFF2-40B4-BE49-F238E27FC236}">
              <a16:creationId xmlns:a16="http://schemas.microsoft.com/office/drawing/2014/main" id="{0A65E43C-4C8F-4958-A7B3-EEEF454F0418}"/>
            </a:ext>
          </a:extLst>
        </xdr:cNvPr>
        <xdr:cNvSpPr>
          <a:spLocks noChangeShapeType="1"/>
        </xdr:cNvSpPr>
      </xdr:nvSpPr>
      <xdr:spPr bwMode="auto">
        <a:xfrm flipH="1" flipV="1">
          <a:off x="1354455" y="6305550"/>
          <a:ext cx="7620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85725</xdr:colOff>
      <xdr:row>35</xdr:row>
      <xdr:rowOff>142875</xdr:rowOff>
    </xdr:from>
    <xdr:to>
      <xdr:col>5</xdr:col>
      <xdr:colOff>409575</xdr:colOff>
      <xdr:row>35</xdr:row>
      <xdr:rowOff>142875</xdr:rowOff>
    </xdr:to>
    <xdr:sp macro="" textlink="">
      <xdr:nvSpPr>
        <xdr:cNvPr id="287" name="Line 670">
          <a:extLst>
            <a:ext uri="{FF2B5EF4-FFF2-40B4-BE49-F238E27FC236}">
              <a16:creationId xmlns:a16="http://schemas.microsoft.com/office/drawing/2014/main" id="{DB61A307-44C6-499E-95B7-88F553860FD4}"/>
            </a:ext>
          </a:extLst>
        </xdr:cNvPr>
        <xdr:cNvSpPr>
          <a:spLocks noChangeShapeType="1"/>
        </xdr:cNvSpPr>
      </xdr:nvSpPr>
      <xdr:spPr bwMode="auto">
        <a:xfrm flipH="1">
          <a:off x="1335405" y="6170295"/>
          <a:ext cx="21983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333375</xdr:colOff>
      <xdr:row>34</xdr:row>
      <xdr:rowOff>9525</xdr:rowOff>
    </xdr:from>
    <xdr:to>
      <xdr:col>7</xdr:col>
      <xdr:colOff>428625</xdr:colOff>
      <xdr:row>36</xdr:row>
      <xdr:rowOff>38100</xdr:rowOff>
    </xdr:to>
    <xdr:sp macro="" textlink="">
      <xdr:nvSpPr>
        <xdr:cNvPr id="289" name="Line 674">
          <a:extLst>
            <a:ext uri="{FF2B5EF4-FFF2-40B4-BE49-F238E27FC236}">
              <a16:creationId xmlns:a16="http://schemas.microsoft.com/office/drawing/2014/main" id="{5588C519-7983-437B-A761-10262A61B893}"/>
            </a:ext>
          </a:extLst>
        </xdr:cNvPr>
        <xdr:cNvSpPr>
          <a:spLocks noChangeShapeType="1"/>
        </xdr:cNvSpPr>
      </xdr:nvSpPr>
      <xdr:spPr bwMode="auto">
        <a:xfrm flipH="1">
          <a:off x="4707255" y="5854065"/>
          <a:ext cx="95250" cy="3943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438151</xdr:colOff>
      <xdr:row>37</xdr:row>
      <xdr:rowOff>176463</xdr:rowOff>
    </xdr:from>
    <xdr:to>
      <xdr:col>7</xdr:col>
      <xdr:colOff>120317</xdr:colOff>
      <xdr:row>38</xdr:row>
      <xdr:rowOff>0</xdr:rowOff>
    </xdr:to>
    <xdr:sp macro="" textlink="">
      <xdr:nvSpPr>
        <xdr:cNvPr id="290" name="Line 701">
          <a:extLst>
            <a:ext uri="{FF2B5EF4-FFF2-40B4-BE49-F238E27FC236}">
              <a16:creationId xmlns:a16="http://schemas.microsoft.com/office/drawing/2014/main" id="{430431CF-291A-46E4-922B-38AF4DDA61ED}"/>
            </a:ext>
          </a:extLst>
        </xdr:cNvPr>
        <xdr:cNvSpPr>
          <a:spLocks noChangeShapeType="1"/>
        </xdr:cNvSpPr>
      </xdr:nvSpPr>
      <xdr:spPr bwMode="auto">
        <a:xfrm flipV="1">
          <a:off x="4785562" y="7042484"/>
          <a:ext cx="1559092" cy="802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114801</xdr:colOff>
      <xdr:row>36</xdr:row>
      <xdr:rowOff>40105</xdr:rowOff>
    </xdr:from>
    <xdr:to>
      <xdr:col>7</xdr:col>
      <xdr:colOff>385010</xdr:colOff>
      <xdr:row>37</xdr:row>
      <xdr:rowOff>171450</xdr:rowOff>
    </xdr:to>
    <xdr:sp macro="" textlink="">
      <xdr:nvSpPr>
        <xdr:cNvPr id="291" name="Line 702">
          <a:extLst>
            <a:ext uri="{FF2B5EF4-FFF2-40B4-BE49-F238E27FC236}">
              <a16:creationId xmlns:a16="http://schemas.microsoft.com/office/drawing/2014/main" id="{94194D62-17E5-4EB4-9C76-4573EEA18EFA}"/>
            </a:ext>
          </a:extLst>
        </xdr:cNvPr>
        <xdr:cNvSpPr>
          <a:spLocks noChangeShapeType="1"/>
        </xdr:cNvSpPr>
      </xdr:nvSpPr>
      <xdr:spPr bwMode="auto">
        <a:xfrm flipV="1">
          <a:off x="6339138" y="6721642"/>
          <a:ext cx="270209" cy="3158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232595</xdr:colOff>
      <xdr:row>40</xdr:row>
      <xdr:rowOff>126590</xdr:rowOff>
    </xdr:from>
    <xdr:to>
      <xdr:col>7</xdr:col>
      <xdr:colOff>565970</xdr:colOff>
      <xdr:row>40</xdr:row>
      <xdr:rowOff>126590</xdr:rowOff>
    </xdr:to>
    <xdr:sp macro="" textlink="">
      <xdr:nvSpPr>
        <xdr:cNvPr id="292" name="Line 733">
          <a:extLst>
            <a:ext uri="{FF2B5EF4-FFF2-40B4-BE49-F238E27FC236}">
              <a16:creationId xmlns:a16="http://schemas.microsoft.com/office/drawing/2014/main" id="{91D77C56-45E0-44D3-8FA8-6CEECF0762A7}"/>
            </a:ext>
          </a:extLst>
        </xdr:cNvPr>
        <xdr:cNvSpPr>
          <a:spLocks noChangeShapeType="1"/>
        </xdr:cNvSpPr>
      </xdr:nvSpPr>
      <xdr:spPr bwMode="auto">
        <a:xfrm>
          <a:off x="3981635" y="7068410"/>
          <a:ext cx="9582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228600</xdr:colOff>
      <xdr:row>30</xdr:row>
      <xdr:rowOff>38100</xdr:rowOff>
    </xdr:from>
    <xdr:to>
      <xdr:col>8</xdr:col>
      <xdr:colOff>0</xdr:colOff>
      <xdr:row>30</xdr:row>
      <xdr:rowOff>38100</xdr:rowOff>
    </xdr:to>
    <xdr:sp macro="" textlink="">
      <xdr:nvSpPr>
        <xdr:cNvPr id="293" name="Line 734">
          <a:extLst>
            <a:ext uri="{FF2B5EF4-FFF2-40B4-BE49-F238E27FC236}">
              <a16:creationId xmlns:a16="http://schemas.microsoft.com/office/drawing/2014/main" id="{43B7C8B7-183D-4941-BC10-24FB0D294C53}"/>
            </a:ext>
          </a:extLst>
        </xdr:cNvPr>
        <xdr:cNvSpPr>
          <a:spLocks noChangeShapeType="1"/>
        </xdr:cNvSpPr>
      </xdr:nvSpPr>
      <xdr:spPr bwMode="auto">
        <a:xfrm>
          <a:off x="4602480" y="5151120"/>
          <a:ext cx="3962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42095</xdr:colOff>
      <xdr:row>30</xdr:row>
      <xdr:rowOff>20278</xdr:rowOff>
    </xdr:from>
    <xdr:to>
      <xdr:col>2</xdr:col>
      <xdr:colOff>42095</xdr:colOff>
      <xdr:row>40</xdr:row>
      <xdr:rowOff>155165</xdr:rowOff>
    </xdr:to>
    <xdr:sp macro="" textlink="">
      <xdr:nvSpPr>
        <xdr:cNvPr id="294" name="Line 682">
          <a:extLst>
            <a:ext uri="{FF2B5EF4-FFF2-40B4-BE49-F238E27FC236}">
              <a16:creationId xmlns:a16="http://schemas.microsoft.com/office/drawing/2014/main" id="{51B03A1B-0FC6-4018-8613-8248432E155C}"/>
            </a:ext>
          </a:extLst>
        </xdr:cNvPr>
        <xdr:cNvSpPr>
          <a:spLocks noChangeShapeType="1"/>
        </xdr:cNvSpPr>
      </xdr:nvSpPr>
      <xdr:spPr bwMode="auto">
        <a:xfrm>
          <a:off x="1291775" y="5133298"/>
          <a:ext cx="0" cy="196368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16286</xdr:colOff>
      <xdr:row>30</xdr:row>
      <xdr:rowOff>10753</xdr:rowOff>
    </xdr:from>
    <xdr:to>
      <xdr:col>8</xdr:col>
      <xdr:colOff>16286</xdr:colOff>
      <xdr:row>40</xdr:row>
      <xdr:rowOff>155165</xdr:rowOff>
    </xdr:to>
    <xdr:sp macro="" textlink="">
      <xdr:nvSpPr>
        <xdr:cNvPr id="295" name="Line 683">
          <a:extLst>
            <a:ext uri="{FF2B5EF4-FFF2-40B4-BE49-F238E27FC236}">
              <a16:creationId xmlns:a16="http://schemas.microsoft.com/office/drawing/2014/main" id="{0D08334E-2359-44BD-9E5D-5F33E6FB3449}"/>
            </a:ext>
          </a:extLst>
        </xdr:cNvPr>
        <xdr:cNvSpPr>
          <a:spLocks noChangeShapeType="1"/>
        </xdr:cNvSpPr>
      </xdr:nvSpPr>
      <xdr:spPr bwMode="auto">
        <a:xfrm>
          <a:off x="5015006" y="5123773"/>
          <a:ext cx="0" cy="197321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42095</xdr:colOff>
      <xdr:row>30</xdr:row>
      <xdr:rowOff>20278</xdr:rowOff>
    </xdr:from>
    <xdr:to>
      <xdr:col>8</xdr:col>
      <xdr:colOff>16286</xdr:colOff>
      <xdr:row>30</xdr:row>
      <xdr:rowOff>20278</xdr:rowOff>
    </xdr:to>
    <xdr:sp macro="" textlink="">
      <xdr:nvSpPr>
        <xdr:cNvPr id="296" name="Line 684">
          <a:extLst>
            <a:ext uri="{FF2B5EF4-FFF2-40B4-BE49-F238E27FC236}">
              <a16:creationId xmlns:a16="http://schemas.microsoft.com/office/drawing/2014/main" id="{13F6925C-767D-4CB9-B551-DA244E7C8DB5}"/>
            </a:ext>
          </a:extLst>
        </xdr:cNvPr>
        <xdr:cNvSpPr>
          <a:spLocks noChangeShapeType="1"/>
        </xdr:cNvSpPr>
      </xdr:nvSpPr>
      <xdr:spPr bwMode="auto">
        <a:xfrm>
          <a:off x="1291775" y="5133298"/>
          <a:ext cx="37232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15597</xdr:colOff>
      <xdr:row>33</xdr:row>
      <xdr:rowOff>5096</xdr:rowOff>
    </xdr:from>
    <xdr:to>
      <xdr:col>7</xdr:col>
      <xdr:colOff>615430</xdr:colOff>
      <xdr:row>33</xdr:row>
      <xdr:rowOff>5096</xdr:rowOff>
    </xdr:to>
    <xdr:sp macro="" textlink="">
      <xdr:nvSpPr>
        <xdr:cNvPr id="297" name="Line 685">
          <a:extLst>
            <a:ext uri="{FF2B5EF4-FFF2-40B4-BE49-F238E27FC236}">
              <a16:creationId xmlns:a16="http://schemas.microsoft.com/office/drawing/2014/main" id="{45347B36-655D-4A9C-89A2-5EF1318881DC}"/>
            </a:ext>
          </a:extLst>
        </xdr:cNvPr>
        <xdr:cNvSpPr>
          <a:spLocks noChangeShapeType="1"/>
        </xdr:cNvSpPr>
      </xdr:nvSpPr>
      <xdr:spPr bwMode="auto">
        <a:xfrm>
          <a:off x="3111222" y="6107900"/>
          <a:ext cx="372947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304800</xdr:colOff>
      <xdr:row>55</xdr:row>
      <xdr:rowOff>142875</xdr:rowOff>
    </xdr:from>
    <xdr:to>
      <xdr:col>6</xdr:col>
      <xdr:colOff>361950</xdr:colOff>
      <xdr:row>56</xdr:row>
      <xdr:rowOff>38100</xdr:rowOff>
    </xdr:to>
    <xdr:sp macro="" textlink="">
      <xdr:nvSpPr>
        <xdr:cNvPr id="300" name="Arc 262">
          <a:extLst>
            <a:ext uri="{FF2B5EF4-FFF2-40B4-BE49-F238E27FC236}">
              <a16:creationId xmlns:a16="http://schemas.microsoft.com/office/drawing/2014/main" id="{F5C3DDE3-305A-431B-B85D-E38602675C5E}"/>
            </a:ext>
          </a:extLst>
        </xdr:cNvPr>
        <xdr:cNvSpPr>
          <a:spLocks/>
        </xdr:cNvSpPr>
      </xdr:nvSpPr>
      <xdr:spPr bwMode="auto">
        <a:xfrm>
          <a:off x="8519160" y="344995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314325</xdr:colOff>
      <xdr:row>55</xdr:row>
      <xdr:rowOff>0</xdr:rowOff>
    </xdr:from>
    <xdr:to>
      <xdr:col>6</xdr:col>
      <xdr:colOff>371475</xdr:colOff>
      <xdr:row>55</xdr:row>
      <xdr:rowOff>57150</xdr:rowOff>
    </xdr:to>
    <xdr:sp macro="" textlink="">
      <xdr:nvSpPr>
        <xdr:cNvPr id="301" name="Arc 263">
          <a:extLst>
            <a:ext uri="{FF2B5EF4-FFF2-40B4-BE49-F238E27FC236}">
              <a16:creationId xmlns:a16="http://schemas.microsoft.com/office/drawing/2014/main" id="{E7E63391-122C-4B9B-870E-B784364544E5}"/>
            </a:ext>
          </a:extLst>
        </xdr:cNvPr>
        <xdr:cNvSpPr>
          <a:spLocks/>
        </xdr:cNvSpPr>
      </xdr:nvSpPr>
      <xdr:spPr bwMode="auto">
        <a:xfrm>
          <a:off x="8528685" y="330708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76200</xdr:colOff>
      <xdr:row>55</xdr:row>
      <xdr:rowOff>9525</xdr:rowOff>
    </xdr:from>
    <xdr:to>
      <xdr:col>6</xdr:col>
      <xdr:colOff>133350</xdr:colOff>
      <xdr:row>55</xdr:row>
      <xdr:rowOff>66675</xdr:rowOff>
    </xdr:to>
    <xdr:sp macro="" textlink="">
      <xdr:nvSpPr>
        <xdr:cNvPr id="302" name="Arc 264">
          <a:extLst>
            <a:ext uri="{FF2B5EF4-FFF2-40B4-BE49-F238E27FC236}">
              <a16:creationId xmlns:a16="http://schemas.microsoft.com/office/drawing/2014/main" id="{68178E3E-62AB-414B-826E-0AC2489D2199}"/>
            </a:ext>
          </a:extLst>
        </xdr:cNvPr>
        <xdr:cNvSpPr>
          <a:spLocks/>
        </xdr:cNvSpPr>
      </xdr:nvSpPr>
      <xdr:spPr bwMode="auto">
        <a:xfrm>
          <a:off x="8290560" y="331660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104775</xdr:colOff>
      <xdr:row>54</xdr:row>
      <xdr:rowOff>142875</xdr:rowOff>
    </xdr:from>
    <xdr:to>
      <xdr:col>5</xdr:col>
      <xdr:colOff>161925</xdr:colOff>
      <xdr:row>55</xdr:row>
      <xdr:rowOff>38100</xdr:rowOff>
    </xdr:to>
    <xdr:sp macro="" textlink="">
      <xdr:nvSpPr>
        <xdr:cNvPr id="303" name="Arc 314">
          <a:extLst>
            <a:ext uri="{FF2B5EF4-FFF2-40B4-BE49-F238E27FC236}">
              <a16:creationId xmlns:a16="http://schemas.microsoft.com/office/drawing/2014/main" id="{FAEE88ED-CA59-412E-8A7E-AD5438E3C58E}"/>
            </a:ext>
          </a:extLst>
        </xdr:cNvPr>
        <xdr:cNvSpPr>
          <a:spLocks/>
        </xdr:cNvSpPr>
      </xdr:nvSpPr>
      <xdr:spPr bwMode="auto">
        <a:xfrm>
          <a:off x="7694295" y="326707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428625</xdr:colOff>
      <xdr:row>54</xdr:row>
      <xdr:rowOff>142875</xdr:rowOff>
    </xdr:from>
    <xdr:to>
      <xdr:col>5</xdr:col>
      <xdr:colOff>485775</xdr:colOff>
      <xdr:row>55</xdr:row>
      <xdr:rowOff>38100</xdr:rowOff>
    </xdr:to>
    <xdr:sp macro="" textlink="">
      <xdr:nvSpPr>
        <xdr:cNvPr id="304" name="Arc 354">
          <a:extLst>
            <a:ext uri="{FF2B5EF4-FFF2-40B4-BE49-F238E27FC236}">
              <a16:creationId xmlns:a16="http://schemas.microsoft.com/office/drawing/2014/main" id="{98B84B22-2A90-4710-9591-C0C8CEABB443}"/>
            </a:ext>
          </a:extLst>
        </xdr:cNvPr>
        <xdr:cNvSpPr>
          <a:spLocks/>
        </xdr:cNvSpPr>
      </xdr:nvSpPr>
      <xdr:spPr bwMode="auto">
        <a:xfrm>
          <a:off x="8018145" y="326707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495300</xdr:colOff>
      <xdr:row>54</xdr:row>
      <xdr:rowOff>152400</xdr:rowOff>
    </xdr:from>
    <xdr:to>
      <xdr:col>6</xdr:col>
      <xdr:colOff>552450</xdr:colOff>
      <xdr:row>55</xdr:row>
      <xdr:rowOff>47625</xdr:rowOff>
    </xdr:to>
    <xdr:sp macro="" textlink="">
      <xdr:nvSpPr>
        <xdr:cNvPr id="305" name="Arc 355">
          <a:extLst>
            <a:ext uri="{FF2B5EF4-FFF2-40B4-BE49-F238E27FC236}">
              <a16:creationId xmlns:a16="http://schemas.microsoft.com/office/drawing/2014/main" id="{6DBAF2DF-68B7-497E-98D5-BC76BF59166E}"/>
            </a:ext>
          </a:extLst>
        </xdr:cNvPr>
        <xdr:cNvSpPr>
          <a:spLocks/>
        </xdr:cNvSpPr>
      </xdr:nvSpPr>
      <xdr:spPr bwMode="auto">
        <a:xfrm>
          <a:off x="8709660" y="3276600"/>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367464</xdr:colOff>
      <xdr:row>53</xdr:row>
      <xdr:rowOff>111793</xdr:rowOff>
    </xdr:from>
    <xdr:to>
      <xdr:col>7</xdr:col>
      <xdr:colOff>367464</xdr:colOff>
      <xdr:row>54</xdr:row>
      <xdr:rowOff>130843</xdr:rowOff>
    </xdr:to>
    <xdr:sp macro="" textlink="">
      <xdr:nvSpPr>
        <xdr:cNvPr id="306" name="Line 476">
          <a:extLst>
            <a:ext uri="{FF2B5EF4-FFF2-40B4-BE49-F238E27FC236}">
              <a16:creationId xmlns:a16="http://schemas.microsoft.com/office/drawing/2014/main" id="{F4F7326E-7CB5-4C74-856C-DA8E1A7B49BA}"/>
            </a:ext>
          </a:extLst>
        </xdr:cNvPr>
        <xdr:cNvSpPr>
          <a:spLocks noChangeShapeType="1"/>
        </xdr:cNvSpPr>
      </xdr:nvSpPr>
      <xdr:spPr bwMode="auto">
        <a:xfrm>
          <a:off x="6591801" y="9929561"/>
          <a:ext cx="0" cy="2035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56</xdr:row>
      <xdr:rowOff>123825</xdr:rowOff>
    </xdr:from>
    <xdr:to>
      <xdr:col>7</xdr:col>
      <xdr:colOff>9525</xdr:colOff>
      <xdr:row>56</xdr:row>
      <xdr:rowOff>123825</xdr:rowOff>
    </xdr:to>
    <xdr:sp macro="" textlink="">
      <xdr:nvSpPr>
        <xdr:cNvPr id="307" name="Line 510">
          <a:extLst>
            <a:ext uri="{FF2B5EF4-FFF2-40B4-BE49-F238E27FC236}">
              <a16:creationId xmlns:a16="http://schemas.microsoft.com/office/drawing/2014/main" id="{4A8406AB-F2E0-46D4-AC7D-7B36969F23CA}"/>
            </a:ext>
          </a:extLst>
        </xdr:cNvPr>
        <xdr:cNvSpPr>
          <a:spLocks noChangeShapeType="1"/>
        </xdr:cNvSpPr>
      </xdr:nvSpPr>
      <xdr:spPr bwMode="auto">
        <a:xfrm>
          <a:off x="6558915" y="3613785"/>
          <a:ext cx="2305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54</xdr:row>
      <xdr:rowOff>66675</xdr:rowOff>
    </xdr:from>
    <xdr:to>
      <xdr:col>6</xdr:col>
      <xdr:colOff>247650</xdr:colOff>
      <xdr:row>54</xdr:row>
      <xdr:rowOff>66675</xdr:rowOff>
    </xdr:to>
    <xdr:sp macro="" textlink="">
      <xdr:nvSpPr>
        <xdr:cNvPr id="308" name="Line 511">
          <a:extLst>
            <a:ext uri="{FF2B5EF4-FFF2-40B4-BE49-F238E27FC236}">
              <a16:creationId xmlns:a16="http://schemas.microsoft.com/office/drawing/2014/main" id="{9B539A3A-FD69-4274-805B-A7F59EC9BF71}"/>
            </a:ext>
          </a:extLst>
        </xdr:cNvPr>
        <xdr:cNvSpPr>
          <a:spLocks noChangeShapeType="1"/>
        </xdr:cNvSpPr>
      </xdr:nvSpPr>
      <xdr:spPr bwMode="auto">
        <a:xfrm>
          <a:off x="6892290" y="3190875"/>
          <a:ext cx="15697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219075</xdr:colOff>
      <xdr:row>46</xdr:row>
      <xdr:rowOff>9525</xdr:rowOff>
    </xdr:from>
    <xdr:to>
      <xdr:col>3</xdr:col>
      <xdr:colOff>219075</xdr:colOff>
      <xdr:row>56</xdr:row>
      <xdr:rowOff>123825</xdr:rowOff>
    </xdr:to>
    <xdr:sp macro="" textlink="">
      <xdr:nvSpPr>
        <xdr:cNvPr id="309" name="Line 514">
          <a:extLst>
            <a:ext uri="{FF2B5EF4-FFF2-40B4-BE49-F238E27FC236}">
              <a16:creationId xmlns:a16="http://schemas.microsoft.com/office/drawing/2014/main" id="{578FA4A2-4B36-4E5B-92D6-807BD7712729}"/>
            </a:ext>
          </a:extLst>
        </xdr:cNvPr>
        <xdr:cNvSpPr>
          <a:spLocks noChangeShapeType="1"/>
        </xdr:cNvSpPr>
      </xdr:nvSpPr>
      <xdr:spPr bwMode="auto">
        <a:xfrm>
          <a:off x="6558915" y="1670685"/>
          <a:ext cx="0" cy="1943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561975</xdr:colOff>
      <xdr:row>46</xdr:row>
      <xdr:rowOff>9525</xdr:rowOff>
    </xdr:from>
    <xdr:to>
      <xdr:col>3</xdr:col>
      <xdr:colOff>561975</xdr:colOff>
      <xdr:row>54</xdr:row>
      <xdr:rowOff>66675</xdr:rowOff>
    </xdr:to>
    <xdr:sp macro="" textlink="">
      <xdr:nvSpPr>
        <xdr:cNvPr id="311" name="Line 517">
          <a:extLst>
            <a:ext uri="{FF2B5EF4-FFF2-40B4-BE49-F238E27FC236}">
              <a16:creationId xmlns:a16="http://schemas.microsoft.com/office/drawing/2014/main" id="{6064D3BB-D118-4851-A3A9-D87327EF4178}"/>
            </a:ext>
          </a:extLst>
        </xdr:cNvPr>
        <xdr:cNvSpPr>
          <a:spLocks noChangeShapeType="1"/>
        </xdr:cNvSpPr>
      </xdr:nvSpPr>
      <xdr:spPr bwMode="auto">
        <a:xfrm>
          <a:off x="6901815" y="1670685"/>
          <a:ext cx="0" cy="152019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46</xdr:row>
      <xdr:rowOff>9525</xdr:rowOff>
    </xdr:from>
    <xdr:to>
      <xdr:col>7</xdr:col>
      <xdr:colOff>0</xdr:colOff>
      <xdr:row>56</xdr:row>
      <xdr:rowOff>133350</xdr:rowOff>
    </xdr:to>
    <xdr:sp macro="" textlink="">
      <xdr:nvSpPr>
        <xdr:cNvPr id="312" name="Line 518">
          <a:extLst>
            <a:ext uri="{FF2B5EF4-FFF2-40B4-BE49-F238E27FC236}">
              <a16:creationId xmlns:a16="http://schemas.microsoft.com/office/drawing/2014/main" id="{D90B5E60-196C-4064-AF47-177171D99E06}"/>
            </a:ext>
          </a:extLst>
        </xdr:cNvPr>
        <xdr:cNvSpPr>
          <a:spLocks noChangeShapeType="1"/>
        </xdr:cNvSpPr>
      </xdr:nvSpPr>
      <xdr:spPr bwMode="auto">
        <a:xfrm>
          <a:off x="8854440" y="1670685"/>
          <a:ext cx="0" cy="1952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276225</xdr:colOff>
      <xdr:row>46</xdr:row>
      <xdr:rowOff>9525</xdr:rowOff>
    </xdr:from>
    <xdr:to>
      <xdr:col>6</xdr:col>
      <xdr:colOff>276225</xdr:colOff>
      <xdr:row>54</xdr:row>
      <xdr:rowOff>66675</xdr:rowOff>
    </xdr:to>
    <xdr:sp macro="" textlink="">
      <xdr:nvSpPr>
        <xdr:cNvPr id="313" name="Line 519">
          <a:extLst>
            <a:ext uri="{FF2B5EF4-FFF2-40B4-BE49-F238E27FC236}">
              <a16:creationId xmlns:a16="http://schemas.microsoft.com/office/drawing/2014/main" id="{65647A26-F570-42AF-8FE9-B56D26D8F64A}"/>
            </a:ext>
          </a:extLst>
        </xdr:cNvPr>
        <xdr:cNvSpPr>
          <a:spLocks noChangeShapeType="1"/>
        </xdr:cNvSpPr>
      </xdr:nvSpPr>
      <xdr:spPr bwMode="auto">
        <a:xfrm>
          <a:off x="8490585" y="1670685"/>
          <a:ext cx="0" cy="152019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54</xdr:row>
      <xdr:rowOff>123825</xdr:rowOff>
    </xdr:from>
    <xdr:to>
      <xdr:col>6</xdr:col>
      <xdr:colOff>552450</xdr:colOff>
      <xdr:row>54</xdr:row>
      <xdr:rowOff>123825</xdr:rowOff>
    </xdr:to>
    <xdr:sp macro="" textlink="">
      <xdr:nvSpPr>
        <xdr:cNvPr id="314" name="Line 520">
          <a:extLst>
            <a:ext uri="{FF2B5EF4-FFF2-40B4-BE49-F238E27FC236}">
              <a16:creationId xmlns:a16="http://schemas.microsoft.com/office/drawing/2014/main" id="{AD2B65AC-C0B8-4C11-855D-D69476A72032}"/>
            </a:ext>
          </a:extLst>
        </xdr:cNvPr>
        <xdr:cNvSpPr>
          <a:spLocks noChangeShapeType="1"/>
        </xdr:cNvSpPr>
      </xdr:nvSpPr>
      <xdr:spPr bwMode="auto">
        <a:xfrm>
          <a:off x="6606540" y="3248025"/>
          <a:ext cx="21602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247650</xdr:colOff>
      <xdr:row>56</xdr:row>
      <xdr:rowOff>57150</xdr:rowOff>
    </xdr:from>
    <xdr:to>
      <xdr:col>6</xdr:col>
      <xdr:colOff>571500</xdr:colOff>
      <xdr:row>56</xdr:row>
      <xdr:rowOff>57150</xdr:rowOff>
    </xdr:to>
    <xdr:sp macro="" textlink="">
      <xdr:nvSpPr>
        <xdr:cNvPr id="315" name="Line 521">
          <a:extLst>
            <a:ext uri="{FF2B5EF4-FFF2-40B4-BE49-F238E27FC236}">
              <a16:creationId xmlns:a16="http://schemas.microsoft.com/office/drawing/2014/main" id="{D9E78DE8-D15A-460D-BF2E-8727BA3562B1}"/>
            </a:ext>
          </a:extLst>
        </xdr:cNvPr>
        <xdr:cNvSpPr>
          <a:spLocks noChangeShapeType="1"/>
        </xdr:cNvSpPr>
      </xdr:nvSpPr>
      <xdr:spPr bwMode="auto">
        <a:xfrm>
          <a:off x="6587490" y="3547110"/>
          <a:ext cx="21983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276225</xdr:colOff>
      <xdr:row>46</xdr:row>
      <xdr:rowOff>66675</xdr:rowOff>
    </xdr:from>
    <xdr:to>
      <xdr:col>3</xdr:col>
      <xdr:colOff>333375</xdr:colOff>
      <xdr:row>46</xdr:row>
      <xdr:rowOff>123825</xdr:rowOff>
    </xdr:to>
    <xdr:sp macro="" textlink="">
      <xdr:nvSpPr>
        <xdr:cNvPr id="316" name="Arc 547">
          <a:extLst>
            <a:ext uri="{FF2B5EF4-FFF2-40B4-BE49-F238E27FC236}">
              <a16:creationId xmlns:a16="http://schemas.microsoft.com/office/drawing/2014/main" id="{9F3711B5-06BE-4920-AC2B-270D9606F2B9}"/>
            </a:ext>
          </a:extLst>
        </xdr:cNvPr>
        <xdr:cNvSpPr>
          <a:spLocks/>
        </xdr:cNvSpPr>
      </xdr:nvSpPr>
      <xdr:spPr bwMode="auto">
        <a:xfrm>
          <a:off x="6616065" y="172783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457200</xdr:colOff>
      <xdr:row>46</xdr:row>
      <xdr:rowOff>66675</xdr:rowOff>
    </xdr:from>
    <xdr:to>
      <xdr:col>3</xdr:col>
      <xdr:colOff>514350</xdr:colOff>
      <xdr:row>46</xdr:row>
      <xdr:rowOff>123825</xdr:rowOff>
    </xdr:to>
    <xdr:sp macro="" textlink="">
      <xdr:nvSpPr>
        <xdr:cNvPr id="317" name="Arc 548">
          <a:extLst>
            <a:ext uri="{FF2B5EF4-FFF2-40B4-BE49-F238E27FC236}">
              <a16:creationId xmlns:a16="http://schemas.microsoft.com/office/drawing/2014/main" id="{23FAA23D-A1B5-4847-8FE2-43F4130B601D}"/>
            </a:ext>
          </a:extLst>
        </xdr:cNvPr>
        <xdr:cNvSpPr>
          <a:spLocks/>
        </xdr:cNvSpPr>
      </xdr:nvSpPr>
      <xdr:spPr bwMode="auto">
        <a:xfrm>
          <a:off x="6797040" y="172783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266700</xdr:colOff>
      <xdr:row>46</xdr:row>
      <xdr:rowOff>57150</xdr:rowOff>
    </xdr:from>
    <xdr:to>
      <xdr:col>3</xdr:col>
      <xdr:colOff>266700</xdr:colOff>
      <xdr:row>56</xdr:row>
      <xdr:rowOff>76200</xdr:rowOff>
    </xdr:to>
    <xdr:sp macro="" textlink="">
      <xdr:nvSpPr>
        <xdr:cNvPr id="318" name="Line 549">
          <a:extLst>
            <a:ext uri="{FF2B5EF4-FFF2-40B4-BE49-F238E27FC236}">
              <a16:creationId xmlns:a16="http://schemas.microsoft.com/office/drawing/2014/main" id="{B87934E5-6B1F-4C72-8D85-6459F8118536}"/>
            </a:ext>
          </a:extLst>
        </xdr:cNvPr>
        <xdr:cNvSpPr>
          <a:spLocks noChangeShapeType="1"/>
        </xdr:cNvSpPr>
      </xdr:nvSpPr>
      <xdr:spPr bwMode="auto">
        <a:xfrm>
          <a:off x="6606540" y="1718310"/>
          <a:ext cx="0" cy="1847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523875</xdr:colOff>
      <xdr:row>46</xdr:row>
      <xdr:rowOff>47625</xdr:rowOff>
    </xdr:from>
    <xdr:to>
      <xdr:col>3</xdr:col>
      <xdr:colOff>523875</xdr:colOff>
      <xdr:row>54</xdr:row>
      <xdr:rowOff>152400</xdr:rowOff>
    </xdr:to>
    <xdr:sp macro="" textlink="">
      <xdr:nvSpPr>
        <xdr:cNvPr id="319" name="Line 550">
          <a:extLst>
            <a:ext uri="{FF2B5EF4-FFF2-40B4-BE49-F238E27FC236}">
              <a16:creationId xmlns:a16="http://schemas.microsoft.com/office/drawing/2014/main" id="{55835892-88AA-4149-9C94-5239074AB453}"/>
            </a:ext>
          </a:extLst>
        </xdr:cNvPr>
        <xdr:cNvSpPr>
          <a:spLocks noChangeShapeType="1"/>
        </xdr:cNvSpPr>
      </xdr:nvSpPr>
      <xdr:spPr bwMode="auto">
        <a:xfrm>
          <a:off x="6863715" y="1708785"/>
          <a:ext cx="0" cy="15678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333375</xdr:colOff>
      <xdr:row>46</xdr:row>
      <xdr:rowOff>85725</xdr:rowOff>
    </xdr:from>
    <xdr:to>
      <xdr:col>6</xdr:col>
      <xdr:colOff>390525</xdr:colOff>
      <xdr:row>46</xdr:row>
      <xdr:rowOff>142875</xdr:rowOff>
    </xdr:to>
    <xdr:sp macro="" textlink="">
      <xdr:nvSpPr>
        <xdr:cNvPr id="320" name="Arc 551">
          <a:extLst>
            <a:ext uri="{FF2B5EF4-FFF2-40B4-BE49-F238E27FC236}">
              <a16:creationId xmlns:a16="http://schemas.microsoft.com/office/drawing/2014/main" id="{BE672EBA-7B35-4A34-B9C3-7D9635DA1949}"/>
            </a:ext>
          </a:extLst>
        </xdr:cNvPr>
        <xdr:cNvSpPr>
          <a:spLocks/>
        </xdr:cNvSpPr>
      </xdr:nvSpPr>
      <xdr:spPr bwMode="auto">
        <a:xfrm>
          <a:off x="8547735" y="174688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523875</xdr:colOff>
      <xdr:row>46</xdr:row>
      <xdr:rowOff>85725</xdr:rowOff>
    </xdr:from>
    <xdr:to>
      <xdr:col>6</xdr:col>
      <xdr:colOff>581025</xdr:colOff>
      <xdr:row>46</xdr:row>
      <xdr:rowOff>142875</xdr:rowOff>
    </xdr:to>
    <xdr:sp macro="" textlink="">
      <xdr:nvSpPr>
        <xdr:cNvPr id="321" name="Arc 552">
          <a:extLst>
            <a:ext uri="{FF2B5EF4-FFF2-40B4-BE49-F238E27FC236}">
              <a16:creationId xmlns:a16="http://schemas.microsoft.com/office/drawing/2014/main" id="{AB6BBD5F-17A2-45A2-B81D-6C62DE991B04}"/>
            </a:ext>
          </a:extLst>
        </xdr:cNvPr>
        <xdr:cNvSpPr>
          <a:spLocks/>
        </xdr:cNvSpPr>
      </xdr:nvSpPr>
      <xdr:spPr bwMode="auto">
        <a:xfrm>
          <a:off x="8738235" y="174688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266700</xdr:colOff>
      <xdr:row>48</xdr:row>
      <xdr:rowOff>47625</xdr:rowOff>
    </xdr:from>
    <xdr:to>
      <xdr:col>3</xdr:col>
      <xdr:colOff>323850</xdr:colOff>
      <xdr:row>48</xdr:row>
      <xdr:rowOff>104775</xdr:rowOff>
    </xdr:to>
    <xdr:sp macro="" textlink="">
      <xdr:nvSpPr>
        <xdr:cNvPr id="322" name="Arc 553">
          <a:extLst>
            <a:ext uri="{FF2B5EF4-FFF2-40B4-BE49-F238E27FC236}">
              <a16:creationId xmlns:a16="http://schemas.microsoft.com/office/drawing/2014/main" id="{65DDA665-C059-40AD-9AF1-7B3DC0A7DD85}"/>
            </a:ext>
          </a:extLst>
        </xdr:cNvPr>
        <xdr:cNvSpPr>
          <a:spLocks/>
        </xdr:cNvSpPr>
      </xdr:nvSpPr>
      <xdr:spPr bwMode="auto">
        <a:xfrm>
          <a:off x="6606540" y="207454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447675</xdr:colOff>
      <xdr:row>48</xdr:row>
      <xdr:rowOff>47625</xdr:rowOff>
    </xdr:from>
    <xdr:to>
      <xdr:col>3</xdr:col>
      <xdr:colOff>504825</xdr:colOff>
      <xdr:row>48</xdr:row>
      <xdr:rowOff>104775</xdr:rowOff>
    </xdr:to>
    <xdr:sp macro="" textlink="">
      <xdr:nvSpPr>
        <xdr:cNvPr id="323" name="Arc 554">
          <a:extLst>
            <a:ext uri="{FF2B5EF4-FFF2-40B4-BE49-F238E27FC236}">
              <a16:creationId xmlns:a16="http://schemas.microsoft.com/office/drawing/2014/main" id="{8065BFFB-325B-4438-A17F-A7FD5BCAF6A9}"/>
            </a:ext>
          </a:extLst>
        </xdr:cNvPr>
        <xdr:cNvSpPr>
          <a:spLocks/>
        </xdr:cNvSpPr>
      </xdr:nvSpPr>
      <xdr:spPr bwMode="auto">
        <a:xfrm>
          <a:off x="6787515" y="207454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276225</xdr:colOff>
      <xdr:row>52</xdr:row>
      <xdr:rowOff>28575</xdr:rowOff>
    </xdr:from>
    <xdr:to>
      <xdr:col>3</xdr:col>
      <xdr:colOff>333375</xdr:colOff>
      <xdr:row>52</xdr:row>
      <xdr:rowOff>85725</xdr:rowOff>
    </xdr:to>
    <xdr:sp macro="" textlink="">
      <xdr:nvSpPr>
        <xdr:cNvPr id="324" name="Arc 555">
          <a:extLst>
            <a:ext uri="{FF2B5EF4-FFF2-40B4-BE49-F238E27FC236}">
              <a16:creationId xmlns:a16="http://schemas.microsoft.com/office/drawing/2014/main" id="{6CAC971B-3401-4107-910D-2C544C55E79A}"/>
            </a:ext>
          </a:extLst>
        </xdr:cNvPr>
        <xdr:cNvSpPr>
          <a:spLocks/>
        </xdr:cNvSpPr>
      </xdr:nvSpPr>
      <xdr:spPr bwMode="auto">
        <a:xfrm>
          <a:off x="6616065" y="278701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457200</xdr:colOff>
      <xdr:row>52</xdr:row>
      <xdr:rowOff>28575</xdr:rowOff>
    </xdr:from>
    <xdr:to>
      <xdr:col>3</xdr:col>
      <xdr:colOff>514350</xdr:colOff>
      <xdr:row>52</xdr:row>
      <xdr:rowOff>85725</xdr:rowOff>
    </xdr:to>
    <xdr:sp macro="" textlink="">
      <xdr:nvSpPr>
        <xdr:cNvPr id="325" name="Arc 556">
          <a:extLst>
            <a:ext uri="{FF2B5EF4-FFF2-40B4-BE49-F238E27FC236}">
              <a16:creationId xmlns:a16="http://schemas.microsoft.com/office/drawing/2014/main" id="{5F79DFB5-3785-4051-8FEC-0F8E0F8E50EB}"/>
            </a:ext>
          </a:extLst>
        </xdr:cNvPr>
        <xdr:cNvSpPr>
          <a:spLocks/>
        </xdr:cNvSpPr>
      </xdr:nvSpPr>
      <xdr:spPr bwMode="auto">
        <a:xfrm>
          <a:off x="6797040" y="278701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266700</xdr:colOff>
      <xdr:row>50</xdr:row>
      <xdr:rowOff>28575</xdr:rowOff>
    </xdr:from>
    <xdr:to>
      <xdr:col>3</xdr:col>
      <xdr:colOff>323850</xdr:colOff>
      <xdr:row>50</xdr:row>
      <xdr:rowOff>85725</xdr:rowOff>
    </xdr:to>
    <xdr:sp macro="" textlink="">
      <xdr:nvSpPr>
        <xdr:cNvPr id="326" name="Arc 557">
          <a:extLst>
            <a:ext uri="{FF2B5EF4-FFF2-40B4-BE49-F238E27FC236}">
              <a16:creationId xmlns:a16="http://schemas.microsoft.com/office/drawing/2014/main" id="{F59AB32F-85D7-4057-900C-077B0298CF61}"/>
            </a:ext>
          </a:extLst>
        </xdr:cNvPr>
        <xdr:cNvSpPr>
          <a:spLocks/>
        </xdr:cNvSpPr>
      </xdr:nvSpPr>
      <xdr:spPr bwMode="auto">
        <a:xfrm>
          <a:off x="6606540" y="242125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457200</xdr:colOff>
      <xdr:row>50</xdr:row>
      <xdr:rowOff>38100</xdr:rowOff>
    </xdr:from>
    <xdr:to>
      <xdr:col>3</xdr:col>
      <xdr:colOff>514350</xdr:colOff>
      <xdr:row>50</xdr:row>
      <xdr:rowOff>95250</xdr:rowOff>
    </xdr:to>
    <xdr:sp macro="" textlink="">
      <xdr:nvSpPr>
        <xdr:cNvPr id="327" name="Arc 558">
          <a:extLst>
            <a:ext uri="{FF2B5EF4-FFF2-40B4-BE49-F238E27FC236}">
              <a16:creationId xmlns:a16="http://schemas.microsoft.com/office/drawing/2014/main" id="{21B39FB2-60EE-46E9-B18B-E9F6F0182E4C}"/>
            </a:ext>
          </a:extLst>
        </xdr:cNvPr>
        <xdr:cNvSpPr>
          <a:spLocks/>
        </xdr:cNvSpPr>
      </xdr:nvSpPr>
      <xdr:spPr bwMode="auto">
        <a:xfrm>
          <a:off x="6797040" y="243078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333375</xdr:colOff>
      <xdr:row>46</xdr:row>
      <xdr:rowOff>66675</xdr:rowOff>
    </xdr:from>
    <xdr:to>
      <xdr:col>6</xdr:col>
      <xdr:colOff>333375</xdr:colOff>
      <xdr:row>54</xdr:row>
      <xdr:rowOff>142875</xdr:rowOff>
    </xdr:to>
    <xdr:sp macro="" textlink="">
      <xdr:nvSpPr>
        <xdr:cNvPr id="328" name="Line 559">
          <a:extLst>
            <a:ext uri="{FF2B5EF4-FFF2-40B4-BE49-F238E27FC236}">
              <a16:creationId xmlns:a16="http://schemas.microsoft.com/office/drawing/2014/main" id="{6FB64FE7-F048-4047-BE31-075B6AB1E393}"/>
            </a:ext>
          </a:extLst>
        </xdr:cNvPr>
        <xdr:cNvSpPr>
          <a:spLocks noChangeShapeType="1"/>
        </xdr:cNvSpPr>
      </xdr:nvSpPr>
      <xdr:spPr bwMode="auto">
        <a:xfrm>
          <a:off x="8547735" y="1727835"/>
          <a:ext cx="0" cy="15392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561975</xdr:colOff>
      <xdr:row>46</xdr:row>
      <xdr:rowOff>76200</xdr:rowOff>
    </xdr:from>
    <xdr:to>
      <xdr:col>6</xdr:col>
      <xdr:colOff>561975</xdr:colOff>
      <xdr:row>56</xdr:row>
      <xdr:rowOff>76200</xdr:rowOff>
    </xdr:to>
    <xdr:sp macro="" textlink="">
      <xdr:nvSpPr>
        <xdr:cNvPr id="329" name="Line 560">
          <a:extLst>
            <a:ext uri="{FF2B5EF4-FFF2-40B4-BE49-F238E27FC236}">
              <a16:creationId xmlns:a16="http://schemas.microsoft.com/office/drawing/2014/main" id="{D6AA8F53-26D3-4634-8720-66361584AA94}"/>
            </a:ext>
          </a:extLst>
        </xdr:cNvPr>
        <xdr:cNvSpPr>
          <a:spLocks noChangeShapeType="1"/>
        </xdr:cNvSpPr>
      </xdr:nvSpPr>
      <xdr:spPr bwMode="auto">
        <a:xfrm>
          <a:off x="8776335" y="1737360"/>
          <a:ext cx="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54</xdr:row>
      <xdr:rowOff>142875</xdr:rowOff>
    </xdr:from>
    <xdr:to>
      <xdr:col>6</xdr:col>
      <xdr:colOff>333375</xdr:colOff>
      <xdr:row>54</xdr:row>
      <xdr:rowOff>142875</xdr:rowOff>
    </xdr:to>
    <xdr:sp macro="" textlink="">
      <xdr:nvSpPr>
        <xdr:cNvPr id="330" name="Line 561">
          <a:extLst>
            <a:ext uri="{FF2B5EF4-FFF2-40B4-BE49-F238E27FC236}">
              <a16:creationId xmlns:a16="http://schemas.microsoft.com/office/drawing/2014/main" id="{9E35F29D-20A9-44A0-A3BA-B04504CA4BBF}"/>
            </a:ext>
          </a:extLst>
        </xdr:cNvPr>
        <xdr:cNvSpPr>
          <a:spLocks noChangeShapeType="1"/>
        </xdr:cNvSpPr>
      </xdr:nvSpPr>
      <xdr:spPr bwMode="auto">
        <a:xfrm flipH="1">
          <a:off x="8214360" y="3267075"/>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514350</xdr:colOff>
      <xdr:row>54</xdr:row>
      <xdr:rowOff>142875</xdr:rowOff>
    </xdr:from>
    <xdr:to>
      <xdr:col>4</xdr:col>
      <xdr:colOff>238125</xdr:colOff>
      <xdr:row>54</xdr:row>
      <xdr:rowOff>142875</xdr:rowOff>
    </xdr:to>
    <xdr:sp macro="" textlink="">
      <xdr:nvSpPr>
        <xdr:cNvPr id="331" name="Line 562">
          <a:extLst>
            <a:ext uri="{FF2B5EF4-FFF2-40B4-BE49-F238E27FC236}">
              <a16:creationId xmlns:a16="http://schemas.microsoft.com/office/drawing/2014/main" id="{EA00313F-F1D6-4A42-A079-1BA24F4C16F4}"/>
            </a:ext>
          </a:extLst>
        </xdr:cNvPr>
        <xdr:cNvSpPr>
          <a:spLocks noChangeShapeType="1"/>
        </xdr:cNvSpPr>
      </xdr:nvSpPr>
      <xdr:spPr bwMode="auto">
        <a:xfrm flipH="1">
          <a:off x="6854190" y="3267075"/>
          <a:ext cx="3486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56</xdr:row>
      <xdr:rowOff>76200</xdr:rowOff>
    </xdr:from>
    <xdr:to>
      <xdr:col>3</xdr:col>
      <xdr:colOff>600075</xdr:colOff>
      <xdr:row>56</xdr:row>
      <xdr:rowOff>76200</xdr:rowOff>
    </xdr:to>
    <xdr:sp macro="" textlink="">
      <xdr:nvSpPr>
        <xdr:cNvPr id="332" name="Line 563">
          <a:extLst>
            <a:ext uri="{FF2B5EF4-FFF2-40B4-BE49-F238E27FC236}">
              <a16:creationId xmlns:a16="http://schemas.microsoft.com/office/drawing/2014/main" id="{0FBEFAFF-F298-4496-933D-14E513AFC207}"/>
            </a:ext>
          </a:extLst>
        </xdr:cNvPr>
        <xdr:cNvSpPr>
          <a:spLocks noChangeShapeType="1"/>
        </xdr:cNvSpPr>
      </xdr:nvSpPr>
      <xdr:spPr bwMode="auto">
        <a:xfrm flipH="1">
          <a:off x="6606540" y="3566160"/>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257175</xdr:colOff>
      <xdr:row>46</xdr:row>
      <xdr:rowOff>57150</xdr:rowOff>
    </xdr:from>
    <xdr:to>
      <xdr:col>3</xdr:col>
      <xdr:colOff>333375</xdr:colOff>
      <xdr:row>46</xdr:row>
      <xdr:rowOff>57150</xdr:rowOff>
    </xdr:to>
    <xdr:sp macro="" textlink="">
      <xdr:nvSpPr>
        <xdr:cNvPr id="333" name="Line 564">
          <a:extLst>
            <a:ext uri="{FF2B5EF4-FFF2-40B4-BE49-F238E27FC236}">
              <a16:creationId xmlns:a16="http://schemas.microsoft.com/office/drawing/2014/main" id="{B63FF213-5F7B-4900-B8EC-59E80CDF7DB8}"/>
            </a:ext>
          </a:extLst>
        </xdr:cNvPr>
        <xdr:cNvSpPr>
          <a:spLocks noChangeShapeType="1"/>
        </xdr:cNvSpPr>
      </xdr:nvSpPr>
      <xdr:spPr bwMode="auto">
        <a:xfrm>
          <a:off x="6597015" y="1718310"/>
          <a:ext cx="76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447675</xdr:colOff>
      <xdr:row>46</xdr:row>
      <xdr:rowOff>57150</xdr:rowOff>
    </xdr:from>
    <xdr:to>
      <xdr:col>3</xdr:col>
      <xdr:colOff>514350</xdr:colOff>
      <xdr:row>46</xdr:row>
      <xdr:rowOff>57150</xdr:rowOff>
    </xdr:to>
    <xdr:sp macro="" textlink="">
      <xdr:nvSpPr>
        <xdr:cNvPr id="334" name="Line 566">
          <a:extLst>
            <a:ext uri="{FF2B5EF4-FFF2-40B4-BE49-F238E27FC236}">
              <a16:creationId xmlns:a16="http://schemas.microsoft.com/office/drawing/2014/main" id="{B01E50BD-238C-4770-9D51-6234A3AEA4F9}"/>
            </a:ext>
          </a:extLst>
        </xdr:cNvPr>
        <xdr:cNvSpPr>
          <a:spLocks noChangeShapeType="1"/>
        </xdr:cNvSpPr>
      </xdr:nvSpPr>
      <xdr:spPr bwMode="auto">
        <a:xfrm>
          <a:off x="6787515" y="1718310"/>
          <a:ext cx="666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333375</xdr:colOff>
      <xdr:row>46</xdr:row>
      <xdr:rowOff>66675</xdr:rowOff>
    </xdr:from>
    <xdr:to>
      <xdr:col>6</xdr:col>
      <xdr:colOff>390525</xdr:colOff>
      <xdr:row>46</xdr:row>
      <xdr:rowOff>66675</xdr:rowOff>
    </xdr:to>
    <xdr:sp macro="" textlink="">
      <xdr:nvSpPr>
        <xdr:cNvPr id="335" name="Line 567">
          <a:extLst>
            <a:ext uri="{FF2B5EF4-FFF2-40B4-BE49-F238E27FC236}">
              <a16:creationId xmlns:a16="http://schemas.microsoft.com/office/drawing/2014/main" id="{4504BEB3-A53C-4959-9CBE-6575004D7552}"/>
            </a:ext>
          </a:extLst>
        </xdr:cNvPr>
        <xdr:cNvSpPr>
          <a:spLocks noChangeShapeType="1"/>
        </xdr:cNvSpPr>
      </xdr:nvSpPr>
      <xdr:spPr bwMode="auto">
        <a:xfrm flipV="1">
          <a:off x="8547735" y="1727835"/>
          <a:ext cx="57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533400</xdr:colOff>
      <xdr:row>46</xdr:row>
      <xdr:rowOff>66675</xdr:rowOff>
    </xdr:from>
    <xdr:to>
      <xdr:col>6</xdr:col>
      <xdr:colOff>581025</xdr:colOff>
      <xdr:row>46</xdr:row>
      <xdr:rowOff>66675</xdr:rowOff>
    </xdr:to>
    <xdr:sp macro="" textlink="">
      <xdr:nvSpPr>
        <xdr:cNvPr id="336" name="Line 568">
          <a:extLst>
            <a:ext uri="{FF2B5EF4-FFF2-40B4-BE49-F238E27FC236}">
              <a16:creationId xmlns:a16="http://schemas.microsoft.com/office/drawing/2014/main" id="{0BE1BC24-D84B-43B2-AB36-F6E17D23B0AA}"/>
            </a:ext>
          </a:extLst>
        </xdr:cNvPr>
        <xdr:cNvSpPr>
          <a:spLocks noChangeShapeType="1"/>
        </xdr:cNvSpPr>
      </xdr:nvSpPr>
      <xdr:spPr bwMode="auto">
        <a:xfrm flipH="1">
          <a:off x="8747760" y="1727835"/>
          <a:ext cx="47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247650</xdr:colOff>
      <xdr:row>56</xdr:row>
      <xdr:rowOff>76200</xdr:rowOff>
    </xdr:from>
    <xdr:to>
      <xdr:col>6</xdr:col>
      <xdr:colOff>571500</xdr:colOff>
      <xdr:row>56</xdr:row>
      <xdr:rowOff>76200</xdr:rowOff>
    </xdr:to>
    <xdr:sp macro="" textlink="">
      <xdr:nvSpPr>
        <xdr:cNvPr id="337" name="Line 569">
          <a:extLst>
            <a:ext uri="{FF2B5EF4-FFF2-40B4-BE49-F238E27FC236}">
              <a16:creationId xmlns:a16="http://schemas.microsoft.com/office/drawing/2014/main" id="{7BC54E16-AF9E-4080-9C6F-EE6217596EDA}"/>
            </a:ext>
          </a:extLst>
        </xdr:cNvPr>
        <xdr:cNvSpPr>
          <a:spLocks noChangeShapeType="1"/>
        </xdr:cNvSpPr>
      </xdr:nvSpPr>
      <xdr:spPr bwMode="auto">
        <a:xfrm flipH="1">
          <a:off x="8462010" y="356616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53</xdr:row>
      <xdr:rowOff>123825</xdr:rowOff>
    </xdr:from>
    <xdr:to>
      <xdr:col>3</xdr:col>
      <xdr:colOff>323850</xdr:colOff>
      <xdr:row>54</xdr:row>
      <xdr:rowOff>19050</xdr:rowOff>
    </xdr:to>
    <xdr:sp macro="" textlink="">
      <xdr:nvSpPr>
        <xdr:cNvPr id="338" name="Arc 570">
          <a:extLst>
            <a:ext uri="{FF2B5EF4-FFF2-40B4-BE49-F238E27FC236}">
              <a16:creationId xmlns:a16="http://schemas.microsoft.com/office/drawing/2014/main" id="{BE05AEF6-C1E6-431B-9D1E-CECBCDA8531E}"/>
            </a:ext>
          </a:extLst>
        </xdr:cNvPr>
        <xdr:cNvSpPr>
          <a:spLocks/>
        </xdr:cNvSpPr>
      </xdr:nvSpPr>
      <xdr:spPr bwMode="auto">
        <a:xfrm>
          <a:off x="6606540" y="306514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447675</xdr:colOff>
      <xdr:row>53</xdr:row>
      <xdr:rowOff>123825</xdr:rowOff>
    </xdr:from>
    <xdr:to>
      <xdr:col>3</xdr:col>
      <xdr:colOff>504825</xdr:colOff>
      <xdr:row>54</xdr:row>
      <xdr:rowOff>19050</xdr:rowOff>
    </xdr:to>
    <xdr:sp macro="" textlink="">
      <xdr:nvSpPr>
        <xdr:cNvPr id="339" name="Arc 571">
          <a:extLst>
            <a:ext uri="{FF2B5EF4-FFF2-40B4-BE49-F238E27FC236}">
              <a16:creationId xmlns:a16="http://schemas.microsoft.com/office/drawing/2014/main" id="{233DC503-87FA-412C-A9F2-D4E34C76E6B3}"/>
            </a:ext>
          </a:extLst>
        </xdr:cNvPr>
        <xdr:cNvSpPr>
          <a:spLocks/>
        </xdr:cNvSpPr>
      </xdr:nvSpPr>
      <xdr:spPr bwMode="auto">
        <a:xfrm>
          <a:off x="6787515" y="306514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342900</xdr:colOff>
      <xdr:row>48</xdr:row>
      <xdr:rowOff>47625</xdr:rowOff>
    </xdr:from>
    <xdr:to>
      <xdr:col>6</xdr:col>
      <xdr:colOff>400050</xdr:colOff>
      <xdr:row>48</xdr:row>
      <xdr:rowOff>104775</xdr:rowOff>
    </xdr:to>
    <xdr:sp macro="" textlink="">
      <xdr:nvSpPr>
        <xdr:cNvPr id="340" name="Arc 572">
          <a:extLst>
            <a:ext uri="{FF2B5EF4-FFF2-40B4-BE49-F238E27FC236}">
              <a16:creationId xmlns:a16="http://schemas.microsoft.com/office/drawing/2014/main" id="{B5E76D5E-EF58-453C-B676-95D3E33DCD9E}"/>
            </a:ext>
          </a:extLst>
        </xdr:cNvPr>
        <xdr:cNvSpPr>
          <a:spLocks/>
        </xdr:cNvSpPr>
      </xdr:nvSpPr>
      <xdr:spPr bwMode="auto">
        <a:xfrm>
          <a:off x="8557260" y="207454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504825</xdr:colOff>
      <xdr:row>48</xdr:row>
      <xdr:rowOff>57150</xdr:rowOff>
    </xdr:from>
    <xdr:to>
      <xdr:col>6</xdr:col>
      <xdr:colOff>561975</xdr:colOff>
      <xdr:row>48</xdr:row>
      <xdr:rowOff>114300</xdr:rowOff>
    </xdr:to>
    <xdr:sp macro="" textlink="">
      <xdr:nvSpPr>
        <xdr:cNvPr id="341" name="Arc 573">
          <a:extLst>
            <a:ext uri="{FF2B5EF4-FFF2-40B4-BE49-F238E27FC236}">
              <a16:creationId xmlns:a16="http://schemas.microsoft.com/office/drawing/2014/main" id="{D2C92E99-5C51-43FA-90E2-297F83F75399}"/>
            </a:ext>
          </a:extLst>
        </xdr:cNvPr>
        <xdr:cNvSpPr>
          <a:spLocks/>
        </xdr:cNvSpPr>
      </xdr:nvSpPr>
      <xdr:spPr bwMode="auto">
        <a:xfrm>
          <a:off x="8719185" y="208407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342900</xdr:colOff>
      <xdr:row>50</xdr:row>
      <xdr:rowOff>0</xdr:rowOff>
    </xdr:from>
    <xdr:to>
      <xdr:col>6</xdr:col>
      <xdr:colOff>400050</xdr:colOff>
      <xdr:row>50</xdr:row>
      <xdr:rowOff>57150</xdr:rowOff>
    </xdr:to>
    <xdr:sp macro="" textlink="">
      <xdr:nvSpPr>
        <xdr:cNvPr id="342" name="Arc 574">
          <a:extLst>
            <a:ext uri="{FF2B5EF4-FFF2-40B4-BE49-F238E27FC236}">
              <a16:creationId xmlns:a16="http://schemas.microsoft.com/office/drawing/2014/main" id="{3CB0E5E1-F4CF-4DD0-AE8B-1759AA2A34B7}"/>
            </a:ext>
          </a:extLst>
        </xdr:cNvPr>
        <xdr:cNvSpPr>
          <a:spLocks/>
        </xdr:cNvSpPr>
      </xdr:nvSpPr>
      <xdr:spPr bwMode="auto">
        <a:xfrm>
          <a:off x="8557260" y="239268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504825</xdr:colOff>
      <xdr:row>50</xdr:row>
      <xdr:rowOff>0</xdr:rowOff>
    </xdr:from>
    <xdr:to>
      <xdr:col>6</xdr:col>
      <xdr:colOff>561975</xdr:colOff>
      <xdr:row>50</xdr:row>
      <xdr:rowOff>57150</xdr:rowOff>
    </xdr:to>
    <xdr:sp macro="" textlink="">
      <xdr:nvSpPr>
        <xdr:cNvPr id="343" name="Arc 575">
          <a:extLst>
            <a:ext uri="{FF2B5EF4-FFF2-40B4-BE49-F238E27FC236}">
              <a16:creationId xmlns:a16="http://schemas.microsoft.com/office/drawing/2014/main" id="{38C0AD5C-2100-4743-9BC1-2EF895B079AF}"/>
            </a:ext>
          </a:extLst>
        </xdr:cNvPr>
        <xdr:cNvSpPr>
          <a:spLocks/>
        </xdr:cNvSpPr>
      </xdr:nvSpPr>
      <xdr:spPr bwMode="auto">
        <a:xfrm>
          <a:off x="8719185" y="239268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323850</xdr:colOff>
      <xdr:row>52</xdr:row>
      <xdr:rowOff>28575</xdr:rowOff>
    </xdr:from>
    <xdr:to>
      <xdr:col>6</xdr:col>
      <xdr:colOff>381000</xdr:colOff>
      <xdr:row>52</xdr:row>
      <xdr:rowOff>85725</xdr:rowOff>
    </xdr:to>
    <xdr:sp macro="" textlink="">
      <xdr:nvSpPr>
        <xdr:cNvPr id="344" name="Arc 576">
          <a:extLst>
            <a:ext uri="{FF2B5EF4-FFF2-40B4-BE49-F238E27FC236}">
              <a16:creationId xmlns:a16="http://schemas.microsoft.com/office/drawing/2014/main" id="{10F0AEC3-89A2-4EF4-8CF0-48EAA94EED62}"/>
            </a:ext>
          </a:extLst>
        </xdr:cNvPr>
        <xdr:cNvSpPr>
          <a:spLocks/>
        </xdr:cNvSpPr>
      </xdr:nvSpPr>
      <xdr:spPr bwMode="auto">
        <a:xfrm>
          <a:off x="8538210" y="278701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485775</xdr:colOff>
      <xdr:row>52</xdr:row>
      <xdr:rowOff>28575</xdr:rowOff>
    </xdr:from>
    <xdr:to>
      <xdr:col>6</xdr:col>
      <xdr:colOff>542925</xdr:colOff>
      <xdr:row>52</xdr:row>
      <xdr:rowOff>85725</xdr:rowOff>
    </xdr:to>
    <xdr:sp macro="" textlink="">
      <xdr:nvSpPr>
        <xdr:cNvPr id="345" name="Arc 577">
          <a:extLst>
            <a:ext uri="{FF2B5EF4-FFF2-40B4-BE49-F238E27FC236}">
              <a16:creationId xmlns:a16="http://schemas.microsoft.com/office/drawing/2014/main" id="{FAF1E07A-B247-4B28-A9C1-B213F78A792F}"/>
            </a:ext>
          </a:extLst>
        </xdr:cNvPr>
        <xdr:cNvSpPr>
          <a:spLocks/>
        </xdr:cNvSpPr>
      </xdr:nvSpPr>
      <xdr:spPr bwMode="auto">
        <a:xfrm>
          <a:off x="8700135" y="2787015"/>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342900</xdr:colOff>
      <xdr:row>53</xdr:row>
      <xdr:rowOff>142875</xdr:rowOff>
    </xdr:from>
    <xdr:to>
      <xdr:col>6</xdr:col>
      <xdr:colOff>400050</xdr:colOff>
      <xdr:row>54</xdr:row>
      <xdr:rowOff>38100</xdr:rowOff>
    </xdr:to>
    <xdr:sp macro="" textlink="">
      <xdr:nvSpPr>
        <xdr:cNvPr id="346" name="Arc 578">
          <a:extLst>
            <a:ext uri="{FF2B5EF4-FFF2-40B4-BE49-F238E27FC236}">
              <a16:creationId xmlns:a16="http://schemas.microsoft.com/office/drawing/2014/main" id="{09DF1823-0268-408F-8B35-2FBE0913E5FB}"/>
            </a:ext>
          </a:extLst>
        </xdr:cNvPr>
        <xdr:cNvSpPr>
          <a:spLocks/>
        </xdr:cNvSpPr>
      </xdr:nvSpPr>
      <xdr:spPr bwMode="auto">
        <a:xfrm>
          <a:off x="8557260" y="308419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504825</xdr:colOff>
      <xdr:row>53</xdr:row>
      <xdr:rowOff>142875</xdr:rowOff>
    </xdr:from>
    <xdr:to>
      <xdr:col>6</xdr:col>
      <xdr:colOff>561975</xdr:colOff>
      <xdr:row>54</xdr:row>
      <xdr:rowOff>38100</xdr:rowOff>
    </xdr:to>
    <xdr:sp macro="" textlink="">
      <xdr:nvSpPr>
        <xdr:cNvPr id="347" name="Arc 579">
          <a:extLst>
            <a:ext uri="{FF2B5EF4-FFF2-40B4-BE49-F238E27FC236}">
              <a16:creationId xmlns:a16="http://schemas.microsoft.com/office/drawing/2014/main" id="{696F837D-3DE8-4B2B-A74A-DFB1B57935B6}"/>
            </a:ext>
          </a:extLst>
        </xdr:cNvPr>
        <xdr:cNvSpPr>
          <a:spLocks/>
        </xdr:cNvSpPr>
      </xdr:nvSpPr>
      <xdr:spPr bwMode="auto">
        <a:xfrm>
          <a:off x="8719185" y="308419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266700</xdr:colOff>
      <xdr:row>55</xdr:row>
      <xdr:rowOff>133350</xdr:rowOff>
    </xdr:from>
    <xdr:to>
      <xdr:col>3</xdr:col>
      <xdr:colOff>323850</xdr:colOff>
      <xdr:row>56</xdr:row>
      <xdr:rowOff>28575</xdr:rowOff>
    </xdr:to>
    <xdr:sp macro="" textlink="">
      <xdr:nvSpPr>
        <xdr:cNvPr id="348" name="Arc 582">
          <a:extLst>
            <a:ext uri="{FF2B5EF4-FFF2-40B4-BE49-F238E27FC236}">
              <a16:creationId xmlns:a16="http://schemas.microsoft.com/office/drawing/2014/main" id="{8D622166-DBF7-4A3D-8B91-3D85F6C9F3DB}"/>
            </a:ext>
          </a:extLst>
        </xdr:cNvPr>
        <xdr:cNvSpPr>
          <a:spLocks/>
        </xdr:cNvSpPr>
      </xdr:nvSpPr>
      <xdr:spPr bwMode="auto">
        <a:xfrm>
          <a:off x="6606540" y="3440430"/>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438150</xdr:colOff>
      <xdr:row>55</xdr:row>
      <xdr:rowOff>142875</xdr:rowOff>
    </xdr:from>
    <xdr:to>
      <xdr:col>3</xdr:col>
      <xdr:colOff>495300</xdr:colOff>
      <xdr:row>56</xdr:row>
      <xdr:rowOff>38100</xdr:rowOff>
    </xdr:to>
    <xdr:sp macro="" textlink="">
      <xdr:nvSpPr>
        <xdr:cNvPr id="349" name="Arc 583">
          <a:extLst>
            <a:ext uri="{FF2B5EF4-FFF2-40B4-BE49-F238E27FC236}">
              <a16:creationId xmlns:a16="http://schemas.microsoft.com/office/drawing/2014/main" id="{FE619812-1E1F-4AB6-82C7-7161EFC7D523}"/>
            </a:ext>
          </a:extLst>
        </xdr:cNvPr>
        <xdr:cNvSpPr>
          <a:spLocks/>
        </xdr:cNvSpPr>
      </xdr:nvSpPr>
      <xdr:spPr bwMode="auto">
        <a:xfrm>
          <a:off x="6777990" y="344995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95250</xdr:colOff>
      <xdr:row>55</xdr:row>
      <xdr:rowOff>142875</xdr:rowOff>
    </xdr:from>
    <xdr:to>
      <xdr:col>4</xdr:col>
      <xdr:colOff>152400</xdr:colOff>
      <xdr:row>56</xdr:row>
      <xdr:rowOff>38100</xdr:rowOff>
    </xdr:to>
    <xdr:sp macro="" textlink="">
      <xdr:nvSpPr>
        <xdr:cNvPr id="350" name="Arc 584">
          <a:extLst>
            <a:ext uri="{FF2B5EF4-FFF2-40B4-BE49-F238E27FC236}">
              <a16:creationId xmlns:a16="http://schemas.microsoft.com/office/drawing/2014/main" id="{A6B925CF-8E2F-4D8F-A222-558D7934C3A4}"/>
            </a:ext>
          </a:extLst>
        </xdr:cNvPr>
        <xdr:cNvSpPr>
          <a:spLocks/>
        </xdr:cNvSpPr>
      </xdr:nvSpPr>
      <xdr:spPr bwMode="auto">
        <a:xfrm>
          <a:off x="7059930" y="344995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390525</xdr:colOff>
      <xdr:row>56</xdr:row>
      <xdr:rowOff>0</xdr:rowOff>
    </xdr:from>
    <xdr:to>
      <xdr:col>4</xdr:col>
      <xdr:colOff>447675</xdr:colOff>
      <xdr:row>56</xdr:row>
      <xdr:rowOff>57150</xdr:rowOff>
    </xdr:to>
    <xdr:sp macro="" textlink="">
      <xdr:nvSpPr>
        <xdr:cNvPr id="351" name="Arc 585">
          <a:extLst>
            <a:ext uri="{FF2B5EF4-FFF2-40B4-BE49-F238E27FC236}">
              <a16:creationId xmlns:a16="http://schemas.microsoft.com/office/drawing/2014/main" id="{1C89D85A-49EF-445E-A471-7F01D1BF15C3}"/>
            </a:ext>
          </a:extLst>
        </xdr:cNvPr>
        <xdr:cNvSpPr>
          <a:spLocks/>
        </xdr:cNvSpPr>
      </xdr:nvSpPr>
      <xdr:spPr bwMode="auto">
        <a:xfrm>
          <a:off x="7355205" y="3489960"/>
          <a:ext cx="57150" cy="57150"/>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104775</xdr:colOff>
      <xdr:row>55</xdr:row>
      <xdr:rowOff>142875</xdr:rowOff>
    </xdr:from>
    <xdr:to>
      <xdr:col>5</xdr:col>
      <xdr:colOff>161925</xdr:colOff>
      <xdr:row>56</xdr:row>
      <xdr:rowOff>38100</xdr:rowOff>
    </xdr:to>
    <xdr:sp macro="" textlink="">
      <xdr:nvSpPr>
        <xdr:cNvPr id="352" name="Arc 586">
          <a:extLst>
            <a:ext uri="{FF2B5EF4-FFF2-40B4-BE49-F238E27FC236}">
              <a16:creationId xmlns:a16="http://schemas.microsoft.com/office/drawing/2014/main" id="{5FB6CC76-AA89-4892-B052-D5C410DCF546}"/>
            </a:ext>
          </a:extLst>
        </xdr:cNvPr>
        <xdr:cNvSpPr>
          <a:spLocks/>
        </xdr:cNvSpPr>
      </xdr:nvSpPr>
      <xdr:spPr bwMode="auto">
        <a:xfrm>
          <a:off x="7694295" y="344995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428625</xdr:colOff>
      <xdr:row>55</xdr:row>
      <xdr:rowOff>142875</xdr:rowOff>
    </xdr:from>
    <xdr:to>
      <xdr:col>5</xdr:col>
      <xdr:colOff>485775</xdr:colOff>
      <xdr:row>56</xdr:row>
      <xdr:rowOff>38100</xdr:rowOff>
    </xdr:to>
    <xdr:sp macro="" textlink="">
      <xdr:nvSpPr>
        <xdr:cNvPr id="353" name="Arc 587">
          <a:extLst>
            <a:ext uri="{FF2B5EF4-FFF2-40B4-BE49-F238E27FC236}">
              <a16:creationId xmlns:a16="http://schemas.microsoft.com/office/drawing/2014/main" id="{8FA8AE9E-E53B-4781-8144-DD9F1FE6526F}"/>
            </a:ext>
          </a:extLst>
        </xdr:cNvPr>
        <xdr:cNvSpPr>
          <a:spLocks/>
        </xdr:cNvSpPr>
      </xdr:nvSpPr>
      <xdr:spPr bwMode="auto">
        <a:xfrm>
          <a:off x="8018145" y="344995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104775</xdr:colOff>
      <xdr:row>55</xdr:row>
      <xdr:rowOff>142875</xdr:rowOff>
    </xdr:from>
    <xdr:to>
      <xdr:col>6</xdr:col>
      <xdr:colOff>161925</xdr:colOff>
      <xdr:row>56</xdr:row>
      <xdr:rowOff>38100</xdr:rowOff>
    </xdr:to>
    <xdr:sp macro="" textlink="">
      <xdr:nvSpPr>
        <xdr:cNvPr id="354" name="Arc 588">
          <a:extLst>
            <a:ext uri="{FF2B5EF4-FFF2-40B4-BE49-F238E27FC236}">
              <a16:creationId xmlns:a16="http://schemas.microsoft.com/office/drawing/2014/main" id="{5D4138B7-FB9C-4B99-ABD2-7C6A870627F3}"/>
            </a:ext>
          </a:extLst>
        </xdr:cNvPr>
        <xdr:cNvSpPr>
          <a:spLocks/>
        </xdr:cNvSpPr>
      </xdr:nvSpPr>
      <xdr:spPr bwMode="auto">
        <a:xfrm>
          <a:off x="8319135" y="344995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114300</xdr:colOff>
      <xdr:row>54</xdr:row>
      <xdr:rowOff>152400</xdr:rowOff>
    </xdr:from>
    <xdr:to>
      <xdr:col>4</xdr:col>
      <xdr:colOff>171450</xdr:colOff>
      <xdr:row>55</xdr:row>
      <xdr:rowOff>47625</xdr:rowOff>
    </xdr:to>
    <xdr:sp macro="" textlink="">
      <xdr:nvSpPr>
        <xdr:cNvPr id="355" name="Arc 589">
          <a:extLst>
            <a:ext uri="{FF2B5EF4-FFF2-40B4-BE49-F238E27FC236}">
              <a16:creationId xmlns:a16="http://schemas.microsoft.com/office/drawing/2014/main" id="{1E507F47-6DC2-4750-ABCD-B14F2EF3B580}"/>
            </a:ext>
          </a:extLst>
        </xdr:cNvPr>
        <xdr:cNvSpPr>
          <a:spLocks/>
        </xdr:cNvSpPr>
      </xdr:nvSpPr>
      <xdr:spPr bwMode="auto">
        <a:xfrm>
          <a:off x="7078980" y="3276600"/>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495300</xdr:colOff>
      <xdr:row>55</xdr:row>
      <xdr:rowOff>142875</xdr:rowOff>
    </xdr:from>
    <xdr:to>
      <xdr:col>6</xdr:col>
      <xdr:colOff>552450</xdr:colOff>
      <xdr:row>56</xdr:row>
      <xdr:rowOff>38100</xdr:rowOff>
    </xdr:to>
    <xdr:sp macro="" textlink="">
      <xdr:nvSpPr>
        <xdr:cNvPr id="356" name="Arc 590">
          <a:extLst>
            <a:ext uri="{FF2B5EF4-FFF2-40B4-BE49-F238E27FC236}">
              <a16:creationId xmlns:a16="http://schemas.microsoft.com/office/drawing/2014/main" id="{8FDCF109-7835-4BAA-B2E4-4745FF5B3BA9}"/>
            </a:ext>
          </a:extLst>
        </xdr:cNvPr>
        <xdr:cNvSpPr>
          <a:spLocks/>
        </xdr:cNvSpPr>
      </xdr:nvSpPr>
      <xdr:spPr bwMode="auto">
        <a:xfrm>
          <a:off x="8709660" y="344995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295275</xdr:colOff>
      <xdr:row>54</xdr:row>
      <xdr:rowOff>142875</xdr:rowOff>
    </xdr:from>
    <xdr:to>
      <xdr:col>3</xdr:col>
      <xdr:colOff>352425</xdr:colOff>
      <xdr:row>55</xdr:row>
      <xdr:rowOff>38100</xdr:rowOff>
    </xdr:to>
    <xdr:sp macro="" textlink="">
      <xdr:nvSpPr>
        <xdr:cNvPr id="357" name="Arc 595">
          <a:extLst>
            <a:ext uri="{FF2B5EF4-FFF2-40B4-BE49-F238E27FC236}">
              <a16:creationId xmlns:a16="http://schemas.microsoft.com/office/drawing/2014/main" id="{8EEB4134-EFAD-4662-A3B6-B9A4DFE8C874}"/>
            </a:ext>
          </a:extLst>
        </xdr:cNvPr>
        <xdr:cNvSpPr>
          <a:spLocks/>
        </xdr:cNvSpPr>
      </xdr:nvSpPr>
      <xdr:spPr bwMode="auto">
        <a:xfrm>
          <a:off x="6635115" y="326707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523875</xdr:colOff>
      <xdr:row>54</xdr:row>
      <xdr:rowOff>152400</xdr:rowOff>
    </xdr:from>
    <xdr:to>
      <xdr:col>3</xdr:col>
      <xdr:colOff>581025</xdr:colOff>
      <xdr:row>55</xdr:row>
      <xdr:rowOff>47625</xdr:rowOff>
    </xdr:to>
    <xdr:sp macro="" textlink="">
      <xdr:nvSpPr>
        <xdr:cNvPr id="358" name="Arc 596">
          <a:extLst>
            <a:ext uri="{FF2B5EF4-FFF2-40B4-BE49-F238E27FC236}">
              <a16:creationId xmlns:a16="http://schemas.microsoft.com/office/drawing/2014/main" id="{681AB293-8729-463E-9D49-4A712303C54F}"/>
            </a:ext>
          </a:extLst>
        </xdr:cNvPr>
        <xdr:cNvSpPr>
          <a:spLocks/>
        </xdr:cNvSpPr>
      </xdr:nvSpPr>
      <xdr:spPr bwMode="auto">
        <a:xfrm>
          <a:off x="6863715" y="3276600"/>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381000</xdr:colOff>
      <xdr:row>54</xdr:row>
      <xdr:rowOff>123825</xdr:rowOff>
    </xdr:from>
    <xdr:to>
      <xdr:col>4</xdr:col>
      <xdr:colOff>438150</xdr:colOff>
      <xdr:row>55</xdr:row>
      <xdr:rowOff>19050</xdr:rowOff>
    </xdr:to>
    <xdr:sp macro="" textlink="">
      <xdr:nvSpPr>
        <xdr:cNvPr id="359" name="Arc 597">
          <a:extLst>
            <a:ext uri="{FF2B5EF4-FFF2-40B4-BE49-F238E27FC236}">
              <a16:creationId xmlns:a16="http://schemas.microsoft.com/office/drawing/2014/main" id="{47F769CE-BE5B-4FF4-B91B-A9E42ECE2EA1}"/>
            </a:ext>
          </a:extLst>
        </xdr:cNvPr>
        <xdr:cNvSpPr>
          <a:spLocks/>
        </xdr:cNvSpPr>
      </xdr:nvSpPr>
      <xdr:spPr bwMode="auto">
        <a:xfrm>
          <a:off x="7345680" y="3248025"/>
          <a:ext cx="57150" cy="78105"/>
        </a:xfrm>
        <a:custGeom>
          <a:avLst/>
          <a:gdLst>
            <a:gd name="T0" fmla="*/ 28575 w 43200"/>
            <a:gd name="T1" fmla="*/ 0 h 43200"/>
            <a:gd name="T2" fmla="*/ 25703 w 43200"/>
            <a:gd name="T3" fmla="*/ 144 h 43200"/>
            <a:gd name="T4" fmla="*/ 28575 w 43200"/>
            <a:gd name="T5" fmla="*/ 28575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492794</xdr:colOff>
      <xdr:row>49</xdr:row>
      <xdr:rowOff>168442</xdr:rowOff>
    </xdr:from>
    <xdr:to>
      <xdr:col>4</xdr:col>
      <xdr:colOff>360947</xdr:colOff>
      <xdr:row>52</xdr:row>
      <xdr:rowOff>32082</xdr:rowOff>
    </xdr:to>
    <xdr:sp macro="" textlink="">
      <xdr:nvSpPr>
        <xdr:cNvPr id="363" name="Line 608">
          <a:extLst>
            <a:ext uri="{FF2B5EF4-FFF2-40B4-BE49-F238E27FC236}">
              <a16:creationId xmlns:a16="http://schemas.microsoft.com/office/drawing/2014/main" id="{5414B153-777A-4838-92D8-3284B8E47338}"/>
            </a:ext>
          </a:extLst>
        </xdr:cNvPr>
        <xdr:cNvSpPr>
          <a:spLocks noChangeShapeType="1"/>
        </xdr:cNvSpPr>
      </xdr:nvSpPr>
      <xdr:spPr bwMode="auto">
        <a:xfrm flipV="1">
          <a:off x="4214562" y="9248274"/>
          <a:ext cx="493796" cy="417092"/>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7</xdr:col>
      <xdr:colOff>133350</xdr:colOff>
      <xdr:row>50</xdr:row>
      <xdr:rowOff>0</xdr:rowOff>
    </xdr:from>
    <xdr:to>
      <xdr:col>7</xdr:col>
      <xdr:colOff>133350</xdr:colOff>
      <xdr:row>54</xdr:row>
      <xdr:rowOff>76200</xdr:rowOff>
    </xdr:to>
    <xdr:sp macro="" textlink="">
      <xdr:nvSpPr>
        <xdr:cNvPr id="364" name="Line 624">
          <a:extLst>
            <a:ext uri="{FF2B5EF4-FFF2-40B4-BE49-F238E27FC236}">
              <a16:creationId xmlns:a16="http://schemas.microsoft.com/office/drawing/2014/main" id="{B74F248C-8694-4889-A2C5-62F43B5E002B}"/>
            </a:ext>
          </a:extLst>
        </xdr:cNvPr>
        <xdr:cNvSpPr>
          <a:spLocks noChangeShapeType="1"/>
        </xdr:cNvSpPr>
      </xdr:nvSpPr>
      <xdr:spPr bwMode="auto">
        <a:xfrm>
          <a:off x="8987790" y="2392680"/>
          <a:ext cx="0" cy="8077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142875</xdr:colOff>
      <xdr:row>46</xdr:row>
      <xdr:rowOff>19050</xdr:rowOff>
    </xdr:from>
    <xdr:to>
      <xdr:col>7</xdr:col>
      <xdr:colOff>142875</xdr:colOff>
      <xdr:row>48</xdr:row>
      <xdr:rowOff>123825</xdr:rowOff>
    </xdr:to>
    <xdr:sp macro="" textlink="">
      <xdr:nvSpPr>
        <xdr:cNvPr id="365" name="Line 625">
          <a:extLst>
            <a:ext uri="{FF2B5EF4-FFF2-40B4-BE49-F238E27FC236}">
              <a16:creationId xmlns:a16="http://schemas.microsoft.com/office/drawing/2014/main" id="{8E6A2A85-CC97-403E-A566-11B22EDACE4B}"/>
            </a:ext>
          </a:extLst>
        </xdr:cNvPr>
        <xdr:cNvSpPr>
          <a:spLocks noChangeShapeType="1"/>
        </xdr:cNvSpPr>
      </xdr:nvSpPr>
      <xdr:spPr bwMode="auto">
        <a:xfrm flipV="1">
          <a:off x="8997315" y="1680210"/>
          <a:ext cx="0" cy="4705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95250</xdr:colOff>
      <xdr:row>46</xdr:row>
      <xdr:rowOff>19050</xdr:rowOff>
    </xdr:from>
    <xdr:to>
      <xdr:col>7</xdr:col>
      <xdr:colOff>276225</xdr:colOff>
      <xdr:row>46</xdr:row>
      <xdr:rowOff>19050</xdr:rowOff>
    </xdr:to>
    <xdr:sp macro="" textlink="">
      <xdr:nvSpPr>
        <xdr:cNvPr id="366" name="Line 627">
          <a:extLst>
            <a:ext uri="{FF2B5EF4-FFF2-40B4-BE49-F238E27FC236}">
              <a16:creationId xmlns:a16="http://schemas.microsoft.com/office/drawing/2014/main" id="{123A8FCF-2B9F-4D73-837C-57CEFB92AC2A}"/>
            </a:ext>
          </a:extLst>
        </xdr:cNvPr>
        <xdr:cNvSpPr>
          <a:spLocks noChangeShapeType="1"/>
        </xdr:cNvSpPr>
      </xdr:nvSpPr>
      <xdr:spPr bwMode="auto">
        <a:xfrm>
          <a:off x="8949690" y="1680210"/>
          <a:ext cx="1809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447675</xdr:colOff>
      <xdr:row>46</xdr:row>
      <xdr:rowOff>133350</xdr:rowOff>
    </xdr:from>
    <xdr:to>
      <xdr:col>3</xdr:col>
      <xdr:colOff>447675</xdr:colOff>
      <xdr:row>46</xdr:row>
      <xdr:rowOff>133350</xdr:rowOff>
    </xdr:to>
    <xdr:sp macro="" textlink="">
      <xdr:nvSpPr>
        <xdr:cNvPr id="373" name="Line 638">
          <a:extLst>
            <a:ext uri="{FF2B5EF4-FFF2-40B4-BE49-F238E27FC236}">
              <a16:creationId xmlns:a16="http://schemas.microsoft.com/office/drawing/2014/main" id="{C11AB657-385E-43DA-8B1D-8D08FAA2B71C}"/>
            </a:ext>
          </a:extLst>
        </xdr:cNvPr>
        <xdr:cNvSpPr>
          <a:spLocks noChangeShapeType="1"/>
        </xdr:cNvSpPr>
      </xdr:nvSpPr>
      <xdr:spPr bwMode="auto">
        <a:xfrm>
          <a:off x="6787515" y="179451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46</xdr:row>
      <xdr:rowOff>104775</xdr:rowOff>
    </xdr:from>
    <xdr:to>
      <xdr:col>3</xdr:col>
      <xdr:colOff>476250</xdr:colOff>
      <xdr:row>48</xdr:row>
      <xdr:rowOff>85725</xdr:rowOff>
    </xdr:to>
    <xdr:sp macro="" textlink="">
      <xdr:nvSpPr>
        <xdr:cNvPr id="374" name="Line 641">
          <a:extLst>
            <a:ext uri="{FF2B5EF4-FFF2-40B4-BE49-F238E27FC236}">
              <a16:creationId xmlns:a16="http://schemas.microsoft.com/office/drawing/2014/main" id="{245908E2-BBA7-42A0-A574-C6896DBD5146}"/>
            </a:ext>
          </a:extLst>
        </xdr:cNvPr>
        <xdr:cNvSpPr>
          <a:spLocks noChangeShapeType="1"/>
        </xdr:cNvSpPr>
      </xdr:nvSpPr>
      <xdr:spPr bwMode="auto">
        <a:xfrm>
          <a:off x="6644640" y="1765935"/>
          <a:ext cx="171450" cy="34671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46</xdr:row>
      <xdr:rowOff>95250</xdr:rowOff>
    </xdr:from>
    <xdr:to>
      <xdr:col>6</xdr:col>
      <xdr:colOff>571500</xdr:colOff>
      <xdr:row>48</xdr:row>
      <xdr:rowOff>95250</xdr:rowOff>
    </xdr:to>
    <xdr:sp macro="" textlink="">
      <xdr:nvSpPr>
        <xdr:cNvPr id="375" name="Line 642">
          <a:extLst>
            <a:ext uri="{FF2B5EF4-FFF2-40B4-BE49-F238E27FC236}">
              <a16:creationId xmlns:a16="http://schemas.microsoft.com/office/drawing/2014/main" id="{0077F65C-41DC-4056-83B0-4908B7521D94}"/>
            </a:ext>
          </a:extLst>
        </xdr:cNvPr>
        <xdr:cNvSpPr>
          <a:spLocks noChangeShapeType="1"/>
        </xdr:cNvSpPr>
      </xdr:nvSpPr>
      <xdr:spPr bwMode="auto">
        <a:xfrm flipV="1">
          <a:off x="8585835" y="1756410"/>
          <a:ext cx="200025" cy="3657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426620</xdr:colOff>
      <xdr:row>56</xdr:row>
      <xdr:rowOff>149894</xdr:rowOff>
    </xdr:from>
    <xdr:to>
      <xdr:col>7</xdr:col>
      <xdr:colOff>426620</xdr:colOff>
      <xdr:row>57</xdr:row>
      <xdr:rowOff>111794</xdr:rowOff>
    </xdr:to>
    <xdr:sp macro="" textlink="">
      <xdr:nvSpPr>
        <xdr:cNvPr id="376" name="Line 647">
          <a:extLst>
            <a:ext uri="{FF2B5EF4-FFF2-40B4-BE49-F238E27FC236}">
              <a16:creationId xmlns:a16="http://schemas.microsoft.com/office/drawing/2014/main" id="{A5557F68-00B0-4FBE-B92A-3C01FE990212}"/>
            </a:ext>
          </a:extLst>
        </xdr:cNvPr>
        <xdr:cNvSpPr>
          <a:spLocks noChangeShapeType="1"/>
        </xdr:cNvSpPr>
      </xdr:nvSpPr>
      <xdr:spPr bwMode="auto">
        <a:xfrm flipV="1">
          <a:off x="6650957" y="10521115"/>
          <a:ext cx="0" cy="14638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219075</xdr:colOff>
      <xdr:row>53</xdr:row>
      <xdr:rowOff>28575</xdr:rowOff>
    </xdr:from>
    <xdr:to>
      <xdr:col>6</xdr:col>
      <xdr:colOff>561975</xdr:colOff>
      <xdr:row>54</xdr:row>
      <xdr:rowOff>0</xdr:rowOff>
    </xdr:to>
    <xdr:sp macro="" textlink="">
      <xdr:nvSpPr>
        <xdr:cNvPr id="378" name="Line 650">
          <a:extLst>
            <a:ext uri="{FF2B5EF4-FFF2-40B4-BE49-F238E27FC236}">
              <a16:creationId xmlns:a16="http://schemas.microsoft.com/office/drawing/2014/main" id="{E1C8090A-82A2-4C94-A1D8-18AB3ECE05A0}"/>
            </a:ext>
          </a:extLst>
        </xdr:cNvPr>
        <xdr:cNvSpPr>
          <a:spLocks noChangeShapeType="1"/>
        </xdr:cNvSpPr>
      </xdr:nvSpPr>
      <xdr:spPr bwMode="auto">
        <a:xfrm flipV="1">
          <a:off x="8433435" y="2969895"/>
          <a:ext cx="342900" cy="15430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192505</xdr:colOff>
      <xdr:row>50</xdr:row>
      <xdr:rowOff>168442</xdr:rowOff>
    </xdr:from>
    <xdr:to>
      <xdr:col>6</xdr:col>
      <xdr:colOff>521368</xdr:colOff>
      <xdr:row>52</xdr:row>
      <xdr:rowOff>32085</xdr:rowOff>
    </xdr:to>
    <xdr:sp macro="" textlink="">
      <xdr:nvSpPr>
        <xdr:cNvPr id="379" name="Line 651">
          <a:extLst>
            <a:ext uri="{FF2B5EF4-FFF2-40B4-BE49-F238E27FC236}">
              <a16:creationId xmlns:a16="http://schemas.microsoft.com/office/drawing/2014/main" id="{85E03A5B-7953-4F79-9825-35473DA0E9CA}"/>
            </a:ext>
          </a:extLst>
        </xdr:cNvPr>
        <xdr:cNvSpPr>
          <a:spLocks noChangeShapeType="1"/>
        </xdr:cNvSpPr>
      </xdr:nvSpPr>
      <xdr:spPr bwMode="auto">
        <a:xfrm>
          <a:off x="5791200" y="9432758"/>
          <a:ext cx="328863" cy="23261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142875</xdr:colOff>
      <xdr:row>55</xdr:row>
      <xdr:rowOff>9525</xdr:rowOff>
    </xdr:from>
    <xdr:to>
      <xdr:col>4</xdr:col>
      <xdr:colOff>409575</xdr:colOff>
      <xdr:row>56</xdr:row>
      <xdr:rowOff>28575</xdr:rowOff>
    </xdr:to>
    <xdr:sp macro="" textlink="">
      <xdr:nvSpPr>
        <xdr:cNvPr id="380" name="Line 728">
          <a:extLst>
            <a:ext uri="{FF2B5EF4-FFF2-40B4-BE49-F238E27FC236}">
              <a16:creationId xmlns:a16="http://schemas.microsoft.com/office/drawing/2014/main" id="{C111F118-583C-4F3F-9905-754E85251126}"/>
            </a:ext>
          </a:extLst>
        </xdr:cNvPr>
        <xdr:cNvSpPr>
          <a:spLocks noChangeShapeType="1"/>
        </xdr:cNvSpPr>
      </xdr:nvSpPr>
      <xdr:spPr bwMode="auto">
        <a:xfrm>
          <a:off x="7107555" y="3316605"/>
          <a:ext cx="266700" cy="2019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63668</xdr:colOff>
      <xdr:row>54</xdr:row>
      <xdr:rowOff>120314</xdr:rowOff>
    </xdr:from>
    <xdr:to>
      <xdr:col>7</xdr:col>
      <xdr:colOff>417096</xdr:colOff>
      <xdr:row>54</xdr:row>
      <xdr:rowOff>120815</xdr:rowOff>
    </xdr:to>
    <xdr:sp macro="" textlink="">
      <xdr:nvSpPr>
        <xdr:cNvPr id="383" name="Line 738">
          <a:extLst>
            <a:ext uri="{FF2B5EF4-FFF2-40B4-BE49-F238E27FC236}">
              <a16:creationId xmlns:a16="http://schemas.microsoft.com/office/drawing/2014/main" id="{AF5309C3-AB03-40FB-9883-25E195BCBE67}"/>
            </a:ext>
          </a:extLst>
        </xdr:cNvPr>
        <xdr:cNvSpPr>
          <a:spLocks noChangeShapeType="1"/>
        </xdr:cNvSpPr>
      </xdr:nvSpPr>
      <xdr:spPr bwMode="auto">
        <a:xfrm flipV="1">
          <a:off x="6288005" y="10122567"/>
          <a:ext cx="353428" cy="50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66674</xdr:colOff>
      <xdr:row>56</xdr:row>
      <xdr:rowOff>120316</xdr:rowOff>
    </xdr:from>
    <xdr:to>
      <xdr:col>7</xdr:col>
      <xdr:colOff>433137</xdr:colOff>
      <xdr:row>56</xdr:row>
      <xdr:rowOff>123825</xdr:rowOff>
    </xdr:to>
    <xdr:sp macro="" textlink="">
      <xdr:nvSpPr>
        <xdr:cNvPr id="384" name="Line 739">
          <a:extLst>
            <a:ext uri="{FF2B5EF4-FFF2-40B4-BE49-F238E27FC236}">
              <a16:creationId xmlns:a16="http://schemas.microsoft.com/office/drawing/2014/main" id="{DBAE8F6E-F558-48ED-8BAF-81A228B4E4AF}"/>
            </a:ext>
          </a:extLst>
        </xdr:cNvPr>
        <xdr:cNvSpPr>
          <a:spLocks noChangeShapeType="1"/>
        </xdr:cNvSpPr>
      </xdr:nvSpPr>
      <xdr:spPr bwMode="auto">
        <a:xfrm flipV="1">
          <a:off x="6291011" y="10491537"/>
          <a:ext cx="366463" cy="350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344904</xdr:colOff>
      <xdr:row>15</xdr:row>
      <xdr:rowOff>176463</xdr:rowOff>
    </xdr:from>
    <xdr:to>
      <xdr:col>3</xdr:col>
      <xdr:colOff>288757</xdr:colOff>
      <xdr:row>16</xdr:row>
      <xdr:rowOff>144778</xdr:rowOff>
    </xdr:to>
    <xdr:sp macro="" textlink="">
      <xdr:nvSpPr>
        <xdr:cNvPr id="385" name="Line 662">
          <a:extLst>
            <a:ext uri="{FF2B5EF4-FFF2-40B4-BE49-F238E27FC236}">
              <a16:creationId xmlns:a16="http://schemas.microsoft.com/office/drawing/2014/main" id="{2FB6BAA8-C46D-4CB0-838D-A70B7385E4FD}"/>
            </a:ext>
          </a:extLst>
        </xdr:cNvPr>
        <xdr:cNvSpPr>
          <a:spLocks noChangeShapeType="1"/>
        </xdr:cNvSpPr>
      </xdr:nvSpPr>
      <xdr:spPr bwMode="auto">
        <a:xfrm flipH="1">
          <a:off x="3441030" y="2959768"/>
          <a:ext cx="569495" cy="15279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txBody>
        <a:bodyPr/>
        <a:lstStyle/>
        <a:p>
          <a:endParaRPr lang="en-IN"/>
        </a:p>
      </xdr:txBody>
    </xdr:sp>
    <xdr:clientData/>
  </xdr:twoCellAnchor>
  <xdr:twoCellAnchor>
    <xdr:from>
      <xdr:col>3</xdr:col>
      <xdr:colOff>192506</xdr:colOff>
      <xdr:row>13</xdr:row>
      <xdr:rowOff>0</xdr:rowOff>
    </xdr:from>
    <xdr:to>
      <xdr:col>6</xdr:col>
      <xdr:colOff>527786</xdr:colOff>
      <xdr:row>13</xdr:row>
      <xdr:rowOff>0</xdr:rowOff>
    </xdr:to>
    <xdr:sp macro="" textlink="">
      <xdr:nvSpPr>
        <xdr:cNvPr id="386" name="Line 489">
          <a:extLst>
            <a:ext uri="{FF2B5EF4-FFF2-40B4-BE49-F238E27FC236}">
              <a16:creationId xmlns:a16="http://schemas.microsoft.com/office/drawing/2014/main" id="{D3A48CA6-5E2B-4B10-91BF-F390C8DECF7B}"/>
            </a:ext>
          </a:extLst>
        </xdr:cNvPr>
        <xdr:cNvSpPr>
          <a:spLocks noChangeShapeType="1"/>
        </xdr:cNvSpPr>
      </xdr:nvSpPr>
      <xdr:spPr bwMode="auto">
        <a:xfrm flipH="1">
          <a:off x="3914274" y="2414337"/>
          <a:ext cx="221220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248652</xdr:colOff>
      <xdr:row>16</xdr:row>
      <xdr:rowOff>0</xdr:rowOff>
    </xdr:from>
    <xdr:to>
      <xdr:col>6</xdr:col>
      <xdr:colOff>583932</xdr:colOff>
      <xdr:row>16</xdr:row>
      <xdr:rowOff>0</xdr:rowOff>
    </xdr:to>
    <xdr:sp macro="" textlink="">
      <xdr:nvSpPr>
        <xdr:cNvPr id="387" name="Line 489">
          <a:extLst>
            <a:ext uri="{FF2B5EF4-FFF2-40B4-BE49-F238E27FC236}">
              <a16:creationId xmlns:a16="http://schemas.microsoft.com/office/drawing/2014/main" id="{0CCFF737-CDA6-4FA1-853C-C225699F6A76}"/>
            </a:ext>
          </a:extLst>
        </xdr:cNvPr>
        <xdr:cNvSpPr>
          <a:spLocks noChangeShapeType="1"/>
        </xdr:cNvSpPr>
      </xdr:nvSpPr>
      <xdr:spPr bwMode="auto">
        <a:xfrm flipH="1">
          <a:off x="3970420" y="2967789"/>
          <a:ext cx="221220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336883</xdr:colOff>
      <xdr:row>49</xdr:row>
      <xdr:rowOff>184482</xdr:rowOff>
    </xdr:from>
    <xdr:to>
      <xdr:col>6</xdr:col>
      <xdr:colOff>192504</xdr:colOff>
      <xdr:row>49</xdr:row>
      <xdr:rowOff>184483</xdr:rowOff>
    </xdr:to>
    <xdr:sp macro="" textlink="">
      <xdr:nvSpPr>
        <xdr:cNvPr id="389" name="Line 701">
          <a:extLst>
            <a:ext uri="{FF2B5EF4-FFF2-40B4-BE49-F238E27FC236}">
              <a16:creationId xmlns:a16="http://schemas.microsoft.com/office/drawing/2014/main" id="{1CB5269F-EA43-4005-AE5C-F43A4528EF88}"/>
            </a:ext>
          </a:extLst>
        </xdr:cNvPr>
        <xdr:cNvSpPr>
          <a:spLocks noChangeShapeType="1"/>
        </xdr:cNvSpPr>
      </xdr:nvSpPr>
      <xdr:spPr bwMode="auto">
        <a:xfrm>
          <a:off x="4684294" y="9264314"/>
          <a:ext cx="1106905" cy="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N"/>
        </a:p>
      </xdr:txBody>
    </xdr:sp>
    <xdr:clientData/>
  </xdr:twoCellAnchor>
  <xdr:twoCellAnchor>
    <xdr:from>
      <xdr:col>4</xdr:col>
      <xdr:colOff>368969</xdr:colOff>
      <xdr:row>51</xdr:row>
      <xdr:rowOff>0</xdr:rowOff>
    </xdr:from>
    <xdr:to>
      <xdr:col>6</xdr:col>
      <xdr:colOff>224590</xdr:colOff>
      <xdr:row>51</xdr:row>
      <xdr:rowOff>1</xdr:rowOff>
    </xdr:to>
    <xdr:sp macro="" textlink="">
      <xdr:nvSpPr>
        <xdr:cNvPr id="390" name="Line 701">
          <a:extLst>
            <a:ext uri="{FF2B5EF4-FFF2-40B4-BE49-F238E27FC236}">
              <a16:creationId xmlns:a16="http://schemas.microsoft.com/office/drawing/2014/main" id="{56FA7A5D-DAD1-4A2E-9392-26524CD368FF}"/>
            </a:ext>
          </a:extLst>
        </xdr:cNvPr>
        <xdr:cNvSpPr>
          <a:spLocks noChangeShapeType="1"/>
        </xdr:cNvSpPr>
      </xdr:nvSpPr>
      <xdr:spPr bwMode="auto">
        <a:xfrm>
          <a:off x="4716380" y="9448800"/>
          <a:ext cx="1106905" cy="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N"/>
        </a:p>
      </xdr:txBody>
    </xdr:sp>
    <xdr:clientData/>
  </xdr:twoCellAnchor>
  <xdr:twoCellAnchor>
    <xdr:from>
      <xdr:col>2</xdr:col>
      <xdr:colOff>95250</xdr:colOff>
      <xdr:row>30</xdr:row>
      <xdr:rowOff>74841</xdr:rowOff>
    </xdr:from>
    <xdr:to>
      <xdr:col>7</xdr:col>
      <xdr:colOff>503465</xdr:colOff>
      <xdr:row>30</xdr:row>
      <xdr:rowOff>74841</xdr:rowOff>
    </xdr:to>
    <xdr:sp macro="" textlink="">
      <xdr:nvSpPr>
        <xdr:cNvPr id="392" name="Line 204">
          <a:extLst>
            <a:ext uri="{FF2B5EF4-FFF2-40B4-BE49-F238E27FC236}">
              <a16:creationId xmlns:a16="http://schemas.microsoft.com/office/drawing/2014/main" id="{A41C0061-EC17-4DE0-95BD-1A7A5B62B04A}"/>
            </a:ext>
          </a:extLst>
        </xdr:cNvPr>
        <xdr:cNvSpPr>
          <a:spLocks noChangeShapeType="1"/>
        </xdr:cNvSpPr>
      </xdr:nvSpPr>
      <xdr:spPr bwMode="auto">
        <a:xfrm>
          <a:off x="3190875" y="5626555"/>
          <a:ext cx="3537858"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88446</xdr:colOff>
      <xdr:row>32</xdr:row>
      <xdr:rowOff>40822</xdr:rowOff>
    </xdr:from>
    <xdr:to>
      <xdr:col>7</xdr:col>
      <xdr:colOff>557892</xdr:colOff>
      <xdr:row>32</xdr:row>
      <xdr:rowOff>40822</xdr:rowOff>
    </xdr:to>
    <xdr:sp macro="" textlink="">
      <xdr:nvSpPr>
        <xdr:cNvPr id="393" name="Line 204">
          <a:extLst>
            <a:ext uri="{FF2B5EF4-FFF2-40B4-BE49-F238E27FC236}">
              <a16:creationId xmlns:a16="http://schemas.microsoft.com/office/drawing/2014/main" id="{1ECC3078-AAEA-4E79-815B-4A8964B31078}"/>
            </a:ext>
          </a:extLst>
        </xdr:cNvPr>
        <xdr:cNvSpPr>
          <a:spLocks noChangeShapeType="1"/>
        </xdr:cNvSpPr>
      </xdr:nvSpPr>
      <xdr:spPr bwMode="auto">
        <a:xfrm>
          <a:off x="3184071" y="5959929"/>
          <a:ext cx="3599089"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530678</xdr:colOff>
      <xdr:row>30</xdr:row>
      <xdr:rowOff>81642</xdr:rowOff>
    </xdr:from>
    <xdr:to>
      <xdr:col>2</xdr:col>
      <xdr:colOff>612322</xdr:colOff>
      <xdr:row>30</xdr:row>
      <xdr:rowOff>170090</xdr:rowOff>
    </xdr:to>
    <xdr:sp macro="" textlink="">
      <xdr:nvSpPr>
        <xdr:cNvPr id="431" name="Arc 367">
          <a:extLst>
            <a:ext uri="{FF2B5EF4-FFF2-40B4-BE49-F238E27FC236}">
              <a16:creationId xmlns:a16="http://schemas.microsoft.com/office/drawing/2014/main" id="{3A40C4B6-BDB3-49F5-AEE5-4814F0F66870}"/>
            </a:ext>
          </a:extLst>
        </xdr:cNvPr>
        <xdr:cNvSpPr>
          <a:spLocks/>
        </xdr:cNvSpPr>
      </xdr:nvSpPr>
      <xdr:spPr bwMode="auto">
        <a:xfrm>
          <a:off x="3626303" y="5633356"/>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95249</xdr:colOff>
      <xdr:row>30</xdr:row>
      <xdr:rowOff>74840</xdr:rowOff>
    </xdr:from>
    <xdr:to>
      <xdr:col>2</xdr:col>
      <xdr:colOff>176893</xdr:colOff>
      <xdr:row>30</xdr:row>
      <xdr:rowOff>163288</xdr:rowOff>
    </xdr:to>
    <xdr:sp macro="" textlink="">
      <xdr:nvSpPr>
        <xdr:cNvPr id="436" name="Arc 367">
          <a:extLst>
            <a:ext uri="{FF2B5EF4-FFF2-40B4-BE49-F238E27FC236}">
              <a16:creationId xmlns:a16="http://schemas.microsoft.com/office/drawing/2014/main" id="{4D8A5329-3F57-465D-B5B8-860E3FEDA74B}"/>
            </a:ext>
          </a:extLst>
        </xdr:cNvPr>
        <xdr:cNvSpPr>
          <a:spLocks/>
        </xdr:cNvSpPr>
      </xdr:nvSpPr>
      <xdr:spPr bwMode="auto">
        <a:xfrm>
          <a:off x="3190874" y="5626554"/>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281666</xdr:colOff>
      <xdr:row>30</xdr:row>
      <xdr:rowOff>84365</xdr:rowOff>
    </xdr:from>
    <xdr:to>
      <xdr:col>3</xdr:col>
      <xdr:colOff>363310</xdr:colOff>
      <xdr:row>30</xdr:row>
      <xdr:rowOff>172813</xdr:rowOff>
    </xdr:to>
    <xdr:sp macro="" textlink="">
      <xdr:nvSpPr>
        <xdr:cNvPr id="437" name="Arc 367">
          <a:extLst>
            <a:ext uri="{FF2B5EF4-FFF2-40B4-BE49-F238E27FC236}">
              <a16:creationId xmlns:a16="http://schemas.microsoft.com/office/drawing/2014/main" id="{82D8F39E-67A4-4039-842A-31E50377D1C3}"/>
            </a:ext>
          </a:extLst>
        </xdr:cNvPr>
        <xdr:cNvSpPr>
          <a:spLocks/>
        </xdr:cNvSpPr>
      </xdr:nvSpPr>
      <xdr:spPr bwMode="auto">
        <a:xfrm>
          <a:off x="4003220" y="5636079"/>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59870</xdr:colOff>
      <xdr:row>30</xdr:row>
      <xdr:rowOff>80283</xdr:rowOff>
    </xdr:from>
    <xdr:to>
      <xdr:col>4</xdr:col>
      <xdr:colOff>141514</xdr:colOff>
      <xdr:row>30</xdr:row>
      <xdr:rowOff>168731</xdr:rowOff>
    </xdr:to>
    <xdr:sp macro="" textlink="">
      <xdr:nvSpPr>
        <xdr:cNvPr id="438" name="Arc 367">
          <a:extLst>
            <a:ext uri="{FF2B5EF4-FFF2-40B4-BE49-F238E27FC236}">
              <a16:creationId xmlns:a16="http://schemas.microsoft.com/office/drawing/2014/main" id="{30202C3C-5704-453D-AE01-FB6F66AA058E}"/>
            </a:ext>
          </a:extLst>
        </xdr:cNvPr>
        <xdr:cNvSpPr>
          <a:spLocks/>
        </xdr:cNvSpPr>
      </xdr:nvSpPr>
      <xdr:spPr bwMode="auto">
        <a:xfrm>
          <a:off x="4407352" y="5631997"/>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504823</xdr:colOff>
      <xdr:row>30</xdr:row>
      <xdr:rowOff>89808</xdr:rowOff>
    </xdr:from>
    <xdr:to>
      <xdr:col>4</xdr:col>
      <xdr:colOff>586467</xdr:colOff>
      <xdr:row>30</xdr:row>
      <xdr:rowOff>178256</xdr:rowOff>
    </xdr:to>
    <xdr:sp macro="" textlink="">
      <xdr:nvSpPr>
        <xdr:cNvPr id="439" name="Arc 367">
          <a:extLst>
            <a:ext uri="{FF2B5EF4-FFF2-40B4-BE49-F238E27FC236}">
              <a16:creationId xmlns:a16="http://schemas.microsoft.com/office/drawing/2014/main" id="{3B7517FE-FE67-4C31-A84C-51B07927EF9D}"/>
            </a:ext>
          </a:extLst>
        </xdr:cNvPr>
        <xdr:cNvSpPr>
          <a:spLocks/>
        </xdr:cNvSpPr>
      </xdr:nvSpPr>
      <xdr:spPr bwMode="auto">
        <a:xfrm>
          <a:off x="4852305" y="5641522"/>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344258</xdr:colOff>
      <xdr:row>30</xdr:row>
      <xdr:rowOff>85726</xdr:rowOff>
    </xdr:from>
    <xdr:to>
      <xdr:col>5</xdr:col>
      <xdr:colOff>425902</xdr:colOff>
      <xdr:row>30</xdr:row>
      <xdr:rowOff>174174</xdr:rowOff>
    </xdr:to>
    <xdr:sp macro="" textlink="">
      <xdr:nvSpPr>
        <xdr:cNvPr id="440" name="Arc 367">
          <a:extLst>
            <a:ext uri="{FF2B5EF4-FFF2-40B4-BE49-F238E27FC236}">
              <a16:creationId xmlns:a16="http://schemas.microsoft.com/office/drawing/2014/main" id="{65A6C7C3-3785-4A70-AAA9-6FA50835BA09}"/>
            </a:ext>
          </a:extLst>
        </xdr:cNvPr>
        <xdr:cNvSpPr>
          <a:spLocks/>
        </xdr:cNvSpPr>
      </xdr:nvSpPr>
      <xdr:spPr bwMode="auto">
        <a:xfrm>
          <a:off x="5317669" y="5637440"/>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170088</xdr:colOff>
      <xdr:row>30</xdr:row>
      <xdr:rowOff>68037</xdr:rowOff>
    </xdr:from>
    <xdr:to>
      <xdr:col>6</xdr:col>
      <xdr:colOff>251732</xdr:colOff>
      <xdr:row>30</xdr:row>
      <xdr:rowOff>156485</xdr:rowOff>
    </xdr:to>
    <xdr:sp macro="" textlink="">
      <xdr:nvSpPr>
        <xdr:cNvPr id="441" name="Arc 367">
          <a:extLst>
            <a:ext uri="{FF2B5EF4-FFF2-40B4-BE49-F238E27FC236}">
              <a16:creationId xmlns:a16="http://schemas.microsoft.com/office/drawing/2014/main" id="{B4F8B73C-C13B-4B5B-99DB-6A8EDBC69DBD}"/>
            </a:ext>
          </a:extLst>
        </xdr:cNvPr>
        <xdr:cNvSpPr>
          <a:spLocks/>
        </xdr:cNvSpPr>
      </xdr:nvSpPr>
      <xdr:spPr bwMode="auto">
        <a:xfrm>
          <a:off x="5769427" y="5619751"/>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601434</xdr:colOff>
      <xdr:row>30</xdr:row>
      <xdr:rowOff>97973</xdr:rowOff>
    </xdr:from>
    <xdr:to>
      <xdr:col>7</xdr:col>
      <xdr:colOff>57149</xdr:colOff>
      <xdr:row>31</xdr:row>
      <xdr:rowOff>2724</xdr:rowOff>
    </xdr:to>
    <xdr:sp macro="" textlink="">
      <xdr:nvSpPr>
        <xdr:cNvPr id="442" name="Arc 367">
          <a:extLst>
            <a:ext uri="{FF2B5EF4-FFF2-40B4-BE49-F238E27FC236}">
              <a16:creationId xmlns:a16="http://schemas.microsoft.com/office/drawing/2014/main" id="{BB42C7A9-6AC2-49A3-9B0A-9F2352532BEE}"/>
            </a:ext>
          </a:extLst>
        </xdr:cNvPr>
        <xdr:cNvSpPr>
          <a:spLocks/>
        </xdr:cNvSpPr>
      </xdr:nvSpPr>
      <xdr:spPr bwMode="auto">
        <a:xfrm>
          <a:off x="6200773" y="5649687"/>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530679</xdr:colOff>
      <xdr:row>32</xdr:row>
      <xdr:rowOff>68036</xdr:rowOff>
    </xdr:from>
    <xdr:to>
      <xdr:col>2</xdr:col>
      <xdr:colOff>612323</xdr:colOff>
      <xdr:row>32</xdr:row>
      <xdr:rowOff>156484</xdr:rowOff>
    </xdr:to>
    <xdr:sp macro="" textlink="">
      <xdr:nvSpPr>
        <xdr:cNvPr id="443" name="Arc 367">
          <a:extLst>
            <a:ext uri="{FF2B5EF4-FFF2-40B4-BE49-F238E27FC236}">
              <a16:creationId xmlns:a16="http://schemas.microsoft.com/office/drawing/2014/main" id="{60B9CE3F-4126-44B8-A8E2-8167BEC24A22}"/>
            </a:ext>
          </a:extLst>
        </xdr:cNvPr>
        <xdr:cNvSpPr>
          <a:spLocks/>
        </xdr:cNvSpPr>
      </xdr:nvSpPr>
      <xdr:spPr bwMode="auto">
        <a:xfrm>
          <a:off x="3626304" y="5987143"/>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288471</xdr:colOff>
      <xdr:row>32</xdr:row>
      <xdr:rowOff>77562</xdr:rowOff>
    </xdr:from>
    <xdr:to>
      <xdr:col>3</xdr:col>
      <xdr:colOff>370115</xdr:colOff>
      <xdr:row>32</xdr:row>
      <xdr:rowOff>166010</xdr:rowOff>
    </xdr:to>
    <xdr:sp macro="" textlink="">
      <xdr:nvSpPr>
        <xdr:cNvPr id="444" name="Arc 367">
          <a:extLst>
            <a:ext uri="{FF2B5EF4-FFF2-40B4-BE49-F238E27FC236}">
              <a16:creationId xmlns:a16="http://schemas.microsoft.com/office/drawing/2014/main" id="{FEF70813-D323-4371-90D6-2694AAE4D103}"/>
            </a:ext>
          </a:extLst>
        </xdr:cNvPr>
        <xdr:cNvSpPr>
          <a:spLocks/>
        </xdr:cNvSpPr>
      </xdr:nvSpPr>
      <xdr:spPr bwMode="auto">
        <a:xfrm>
          <a:off x="4010025" y="5996669"/>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59872</xdr:colOff>
      <xdr:row>32</xdr:row>
      <xdr:rowOff>73480</xdr:rowOff>
    </xdr:from>
    <xdr:to>
      <xdr:col>4</xdr:col>
      <xdr:colOff>141516</xdr:colOff>
      <xdr:row>32</xdr:row>
      <xdr:rowOff>161928</xdr:rowOff>
    </xdr:to>
    <xdr:sp macro="" textlink="">
      <xdr:nvSpPr>
        <xdr:cNvPr id="445" name="Arc 367">
          <a:extLst>
            <a:ext uri="{FF2B5EF4-FFF2-40B4-BE49-F238E27FC236}">
              <a16:creationId xmlns:a16="http://schemas.microsoft.com/office/drawing/2014/main" id="{F57D3891-C8FC-4606-824C-D928B216C929}"/>
            </a:ext>
          </a:extLst>
        </xdr:cNvPr>
        <xdr:cNvSpPr>
          <a:spLocks/>
        </xdr:cNvSpPr>
      </xdr:nvSpPr>
      <xdr:spPr bwMode="auto">
        <a:xfrm>
          <a:off x="4407354" y="5992587"/>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4</xdr:col>
      <xdr:colOff>498022</xdr:colOff>
      <xdr:row>32</xdr:row>
      <xdr:rowOff>76202</xdr:rowOff>
    </xdr:from>
    <xdr:to>
      <xdr:col>4</xdr:col>
      <xdr:colOff>579666</xdr:colOff>
      <xdr:row>32</xdr:row>
      <xdr:rowOff>164650</xdr:rowOff>
    </xdr:to>
    <xdr:sp macro="" textlink="">
      <xdr:nvSpPr>
        <xdr:cNvPr id="446" name="Arc 367">
          <a:extLst>
            <a:ext uri="{FF2B5EF4-FFF2-40B4-BE49-F238E27FC236}">
              <a16:creationId xmlns:a16="http://schemas.microsoft.com/office/drawing/2014/main" id="{53377CDE-551A-42D6-85C0-07A3B1607BE1}"/>
            </a:ext>
          </a:extLst>
        </xdr:cNvPr>
        <xdr:cNvSpPr>
          <a:spLocks/>
        </xdr:cNvSpPr>
      </xdr:nvSpPr>
      <xdr:spPr bwMode="auto">
        <a:xfrm>
          <a:off x="4845504" y="5995309"/>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5</xdr:col>
      <xdr:colOff>351065</xdr:colOff>
      <xdr:row>32</xdr:row>
      <xdr:rowOff>78923</xdr:rowOff>
    </xdr:from>
    <xdr:to>
      <xdr:col>5</xdr:col>
      <xdr:colOff>432709</xdr:colOff>
      <xdr:row>32</xdr:row>
      <xdr:rowOff>167371</xdr:rowOff>
    </xdr:to>
    <xdr:sp macro="" textlink="">
      <xdr:nvSpPr>
        <xdr:cNvPr id="447" name="Arc 367">
          <a:extLst>
            <a:ext uri="{FF2B5EF4-FFF2-40B4-BE49-F238E27FC236}">
              <a16:creationId xmlns:a16="http://schemas.microsoft.com/office/drawing/2014/main" id="{0398AFAE-F9B5-4C32-AA48-6B76FE76733A}"/>
            </a:ext>
          </a:extLst>
        </xdr:cNvPr>
        <xdr:cNvSpPr>
          <a:spLocks/>
        </xdr:cNvSpPr>
      </xdr:nvSpPr>
      <xdr:spPr bwMode="auto">
        <a:xfrm>
          <a:off x="5324476" y="5998030"/>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183697</xdr:colOff>
      <xdr:row>32</xdr:row>
      <xdr:rowOff>61233</xdr:rowOff>
    </xdr:from>
    <xdr:to>
      <xdr:col>6</xdr:col>
      <xdr:colOff>265341</xdr:colOff>
      <xdr:row>32</xdr:row>
      <xdr:rowOff>149681</xdr:rowOff>
    </xdr:to>
    <xdr:sp macro="" textlink="">
      <xdr:nvSpPr>
        <xdr:cNvPr id="448" name="Arc 367">
          <a:extLst>
            <a:ext uri="{FF2B5EF4-FFF2-40B4-BE49-F238E27FC236}">
              <a16:creationId xmlns:a16="http://schemas.microsoft.com/office/drawing/2014/main" id="{B880F64F-A72E-4EAC-AB8C-6D424DD86D28}"/>
            </a:ext>
          </a:extLst>
        </xdr:cNvPr>
        <xdr:cNvSpPr>
          <a:spLocks/>
        </xdr:cNvSpPr>
      </xdr:nvSpPr>
      <xdr:spPr bwMode="auto">
        <a:xfrm>
          <a:off x="5783036" y="5980340"/>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587829</xdr:colOff>
      <xdr:row>32</xdr:row>
      <xdr:rowOff>57151</xdr:rowOff>
    </xdr:from>
    <xdr:to>
      <xdr:col>7</xdr:col>
      <xdr:colOff>43544</xdr:colOff>
      <xdr:row>32</xdr:row>
      <xdr:rowOff>145599</xdr:rowOff>
    </xdr:to>
    <xdr:sp macro="" textlink="">
      <xdr:nvSpPr>
        <xdr:cNvPr id="449" name="Arc 367">
          <a:extLst>
            <a:ext uri="{FF2B5EF4-FFF2-40B4-BE49-F238E27FC236}">
              <a16:creationId xmlns:a16="http://schemas.microsoft.com/office/drawing/2014/main" id="{D4691718-0C07-4E47-994B-39631B53148E}"/>
            </a:ext>
          </a:extLst>
        </xdr:cNvPr>
        <xdr:cNvSpPr>
          <a:spLocks/>
        </xdr:cNvSpPr>
      </xdr:nvSpPr>
      <xdr:spPr bwMode="auto">
        <a:xfrm>
          <a:off x="6187168" y="5976258"/>
          <a:ext cx="81644" cy="88448"/>
        </a:xfrm>
        <a:custGeom>
          <a:avLst/>
          <a:gdLst>
            <a:gd name="T0" fmla="*/ 28575 w 43200"/>
            <a:gd name="T1" fmla="*/ 0 h 43200"/>
            <a:gd name="T2" fmla="*/ 25703 w 43200"/>
            <a:gd name="T3" fmla="*/ 168 h 43200"/>
            <a:gd name="T4" fmla="*/ 28575 w 43200"/>
            <a:gd name="T5" fmla="*/ 33338 h 43200"/>
            <a:gd name="T6" fmla="*/ 0 60000 65536"/>
            <a:gd name="T7" fmla="*/ 0 60000 65536"/>
            <a:gd name="T8" fmla="*/ 0 60000 65536"/>
          </a:gdLst>
          <a:ahLst/>
          <a:cxnLst>
            <a:cxn ang="T6">
              <a:pos x="T0" y="T1"/>
            </a:cxn>
            <a:cxn ang="T7">
              <a:pos x="T2" y="T3"/>
            </a:cxn>
            <a:cxn ang="T8">
              <a:pos x="T4" y="T5"/>
            </a:cxn>
          </a:cxnLst>
          <a:rect l="0" t="0" r="r" b="b"/>
          <a:pathLst>
            <a:path w="43200" h="43200" fill="none"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path>
            <a:path w="43200" h="43200" stroke="0" extrusionOk="0">
              <a:moveTo>
                <a:pt x="21600" y="0"/>
              </a:moveTo>
              <a:cubicBezTo>
                <a:pt x="33529" y="0"/>
                <a:pt x="43200" y="9670"/>
                <a:pt x="43200" y="21600"/>
              </a:cubicBezTo>
              <a:cubicBezTo>
                <a:pt x="43200" y="33529"/>
                <a:pt x="33529" y="43200"/>
                <a:pt x="21600" y="43200"/>
              </a:cubicBezTo>
              <a:cubicBezTo>
                <a:pt x="9670" y="43200"/>
                <a:pt x="0" y="33529"/>
                <a:pt x="0" y="21600"/>
              </a:cubicBezTo>
              <a:cubicBezTo>
                <a:pt x="0" y="10511"/>
                <a:pt x="8396" y="1223"/>
                <a:pt x="19429" y="109"/>
              </a:cubicBezTo>
              <a:lnTo>
                <a:pt x="21600" y="21600"/>
              </a:lnTo>
              <a:lnTo>
                <a:pt x="21600" y="0"/>
              </a:lnTo>
              <a:close/>
            </a:path>
          </a:pathLst>
        </a:cu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3</xdr:col>
      <xdr:colOff>537480</xdr:colOff>
      <xdr:row>31</xdr:row>
      <xdr:rowOff>108856</xdr:rowOff>
    </xdr:from>
    <xdr:to>
      <xdr:col>4</xdr:col>
      <xdr:colOff>449035</xdr:colOff>
      <xdr:row>32</xdr:row>
      <xdr:rowOff>34017</xdr:rowOff>
    </xdr:to>
    <xdr:sp macro="" textlink="">
      <xdr:nvSpPr>
        <xdr:cNvPr id="451" name="Line 671">
          <a:extLst>
            <a:ext uri="{FF2B5EF4-FFF2-40B4-BE49-F238E27FC236}">
              <a16:creationId xmlns:a16="http://schemas.microsoft.com/office/drawing/2014/main" id="{9C211D62-1BF9-4278-B7D1-1D796C8F8C79}"/>
            </a:ext>
          </a:extLst>
        </xdr:cNvPr>
        <xdr:cNvSpPr>
          <a:spLocks noChangeShapeType="1"/>
        </xdr:cNvSpPr>
      </xdr:nvSpPr>
      <xdr:spPr bwMode="auto">
        <a:xfrm flipH="1">
          <a:off x="4259034" y="5844267"/>
          <a:ext cx="537483" cy="10885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108856</xdr:colOff>
      <xdr:row>29</xdr:row>
      <xdr:rowOff>108857</xdr:rowOff>
    </xdr:from>
    <xdr:to>
      <xdr:col>2</xdr:col>
      <xdr:colOff>503464</xdr:colOff>
      <xdr:row>30</xdr:row>
      <xdr:rowOff>74838</xdr:rowOff>
    </xdr:to>
    <xdr:sp macro="" textlink="">
      <xdr:nvSpPr>
        <xdr:cNvPr id="452" name="Line 671">
          <a:extLst>
            <a:ext uri="{FF2B5EF4-FFF2-40B4-BE49-F238E27FC236}">
              <a16:creationId xmlns:a16="http://schemas.microsoft.com/office/drawing/2014/main" id="{78CC6381-51CD-4446-9B48-B251951B4B4B}"/>
            </a:ext>
          </a:extLst>
        </xdr:cNvPr>
        <xdr:cNvSpPr>
          <a:spLocks noChangeShapeType="1"/>
        </xdr:cNvSpPr>
      </xdr:nvSpPr>
      <xdr:spPr bwMode="auto">
        <a:xfrm flipH="1">
          <a:off x="3204481" y="5476875"/>
          <a:ext cx="394608" cy="14967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21987</xdr:colOff>
      <xdr:row>38</xdr:row>
      <xdr:rowOff>88446</xdr:rowOff>
    </xdr:from>
    <xdr:to>
      <xdr:col>8</xdr:col>
      <xdr:colOff>340179</xdr:colOff>
      <xdr:row>38</xdr:row>
      <xdr:rowOff>95250</xdr:rowOff>
    </xdr:to>
    <xdr:sp macro="" textlink="">
      <xdr:nvSpPr>
        <xdr:cNvPr id="22" name="Line 92">
          <a:extLst>
            <a:ext uri="{FF2B5EF4-FFF2-40B4-BE49-F238E27FC236}">
              <a16:creationId xmlns:a16="http://schemas.microsoft.com/office/drawing/2014/main" id="{7CE2DB27-CD82-49B0-AD33-E3130BB3E481}"/>
            </a:ext>
          </a:extLst>
        </xdr:cNvPr>
        <xdr:cNvSpPr>
          <a:spLocks noChangeShapeType="1"/>
        </xdr:cNvSpPr>
      </xdr:nvSpPr>
      <xdr:spPr bwMode="auto">
        <a:xfrm>
          <a:off x="7539933" y="7109732"/>
          <a:ext cx="318192" cy="68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8163</xdr:colOff>
      <xdr:row>40</xdr:row>
      <xdr:rowOff>92528</xdr:rowOff>
    </xdr:from>
    <xdr:to>
      <xdr:col>8</xdr:col>
      <xdr:colOff>326573</xdr:colOff>
      <xdr:row>40</xdr:row>
      <xdr:rowOff>95250</xdr:rowOff>
    </xdr:to>
    <xdr:sp macro="" textlink="">
      <xdr:nvSpPr>
        <xdr:cNvPr id="23" name="Line 424">
          <a:extLst>
            <a:ext uri="{FF2B5EF4-FFF2-40B4-BE49-F238E27FC236}">
              <a16:creationId xmlns:a16="http://schemas.microsoft.com/office/drawing/2014/main" id="{71987802-915F-4CD1-AF0A-C1C08B07130F}"/>
            </a:ext>
          </a:extLst>
        </xdr:cNvPr>
        <xdr:cNvSpPr>
          <a:spLocks noChangeShapeType="1"/>
        </xdr:cNvSpPr>
      </xdr:nvSpPr>
      <xdr:spPr bwMode="auto">
        <a:xfrm>
          <a:off x="7526109" y="7481207"/>
          <a:ext cx="318410" cy="272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157843</xdr:colOff>
      <xdr:row>40</xdr:row>
      <xdr:rowOff>103415</xdr:rowOff>
    </xdr:from>
    <xdr:to>
      <xdr:col>8</xdr:col>
      <xdr:colOff>163286</xdr:colOff>
      <xdr:row>42</xdr:row>
      <xdr:rowOff>13608</xdr:rowOff>
    </xdr:to>
    <xdr:sp macro="" textlink="">
      <xdr:nvSpPr>
        <xdr:cNvPr id="24" name="Line 426">
          <a:extLst>
            <a:ext uri="{FF2B5EF4-FFF2-40B4-BE49-F238E27FC236}">
              <a16:creationId xmlns:a16="http://schemas.microsoft.com/office/drawing/2014/main" id="{CCD34F32-EF4E-4699-9E58-43B30C4A32F0}"/>
            </a:ext>
          </a:extLst>
        </xdr:cNvPr>
        <xdr:cNvSpPr>
          <a:spLocks noChangeShapeType="1"/>
        </xdr:cNvSpPr>
      </xdr:nvSpPr>
      <xdr:spPr bwMode="auto">
        <a:xfrm flipH="1" flipV="1">
          <a:off x="7675789" y="7492094"/>
          <a:ext cx="5443" cy="27758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142874</xdr:colOff>
      <xdr:row>36</xdr:row>
      <xdr:rowOff>136071</xdr:rowOff>
    </xdr:from>
    <xdr:to>
      <xdr:col>8</xdr:col>
      <xdr:colOff>142876</xdr:colOff>
      <xdr:row>38</xdr:row>
      <xdr:rowOff>81642</xdr:rowOff>
    </xdr:to>
    <xdr:sp macro="" textlink="">
      <xdr:nvSpPr>
        <xdr:cNvPr id="25" name="Line 427">
          <a:extLst>
            <a:ext uri="{FF2B5EF4-FFF2-40B4-BE49-F238E27FC236}">
              <a16:creationId xmlns:a16="http://schemas.microsoft.com/office/drawing/2014/main" id="{EDB91C24-D259-483A-8187-947EA2ACD6C3}"/>
            </a:ext>
          </a:extLst>
        </xdr:cNvPr>
        <xdr:cNvSpPr>
          <a:spLocks noChangeShapeType="1"/>
        </xdr:cNvSpPr>
      </xdr:nvSpPr>
      <xdr:spPr bwMode="auto">
        <a:xfrm flipH="1">
          <a:off x="7660820" y="6789964"/>
          <a:ext cx="2" cy="31296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txBody>
        <a:bodyPr/>
        <a:lstStyle/>
        <a:p>
          <a:endParaRPr lang="en-IN"/>
        </a:p>
      </xdr:txBody>
    </xdr:sp>
    <xdr:clientData/>
  </xdr:twoCellAnchor>
  <xdr:twoCellAnchor>
    <xdr:from>
      <xdr:col>3</xdr:col>
      <xdr:colOff>292553</xdr:colOff>
      <xdr:row>48</xdr:row>
      <xdr:rowOff>34017</xdr:rowOff>
    </xdr:from>
    <xdr:to>
      <xdr:col>6</xdr:col>
      <xdr:colOff>544286</xdr:colOff>
      <xdr:row>48</xdr:row>
      <xdr:rowOff>40820</xdr:rowOff>
    </xdr:to>
    <xdr:sp macro="" textlink="">
      <xdr:nvSpPr>
        <xdr:cNvPr id="26" name="Line 204">
          <a:extLst>
            <a:ext uri="{FF2B5EF4-FFF2-40B4-BE49-F238E27FC236}">
              <a16:creationId xmlns:a16="http://schemas.microsoft.com/office/drawing/2014/main" id="{B2F1AFCE-F68F-4D8A-84A6-155EA2BFB111}"/>
            </a:ext>
          </a:extLst>
        </xdr:cNvPr>
        <xdr:cNvSpPr>
          <a:spLocks noChangeShapeType="1"/>
        </xdr:cNvSpPr>
      </xdr:nvSpPr>
      <xdr:spPr bwMode="auto">
        <a:xfrm>
          <a:off x="4680857" y="8892267"/>
          <a:ext cx="2129518" cy="680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308881</xdr:colOff>
      <xdr:row>46</xdr:row>
      <xdr:rowOff>70757</xdr:rowOff>
    </xdr:from>
    <xdr:to>
      <xdr:col>6</xdr:col>
      <xdr:colOff>560614</xdr:colOff>
      <xdr:row>46</xdr:row>
      <xdr:rowOff>77560</xdr:rowOff>
    </xdr:to>
    <xdr:sp macro="" textlink="">
      <xdr:nvSpPr>
        <xdr:cNvPr id="27" name="Line 204">
          <a:extLst>
            <a:ext uri="{FF2B5EF4-FFF2-40B4-BE49-F238E27FC236}">
              <a16:creationId xmlns:a16="http://schemas.microsoft.com/office/drawing/2014/main" id="{9C7FFA25-67A0-4C12-8A83-E6041431A6BC}"/>
            </a:ext>
          </a:extLst>
        </xdr:cNvPr>
        <xdr:cNvSpPr>
          <a:spLocks noChangeShapeType="1"/>
        </xdr:cNvSpPr>
      </xdr:nvSpPr>
      <xdr:spPr bwMode="auto">
        <a:xfrm>
          <a:off x="4697185" y="8561614"/>
          <a:ext cx="2129518" cy="680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a:lstStyle/>
        <a:p>
          <a:endParaRPr lang="en-IN"/>
        </a:p>
      </xdr:txBody>
    </xdr:sp>
    <xdr:clientData/>
  </xdr:twoCellAnchor>
  <xdr:twoCellAnchor>
    <xdr:from>
      <xdr:col>6</xdr:col>
      <xdr:colOff>340451</xdr:colOff>
      <xdr:row>17</xdr:row>
      <xdr:rowOff>111579</xdr:rowOff>
    </xdr:from>
    <xdr:to>
      <xdr:col>9</xdr:col>
      <xdr:colOff>537754</xdr:colOff>
      <xdr:row>17</xdr:row>
      <xdr:rowOff>111579</xdr:rowOff>
    </xdr:to>
    <xdr:sp macro="" textlink="">
      <xdr:nvSpPr>
        <xdr:cNvPr id="28" name="Line 520">
          <a:extLst>
            <a:ext uri="{FF2B5EF4-FFF2-40B4-BE49-F238E27FC236}">
              <a16:creationId xmlns:a16="http://schemas.microsoft.com/office/drawing/2014/main" id="{720AFE9C-A86B-4750-8921-440C9E7D29DE}"/>
            </a:ext>
          </a:extLst>
        </xdr:cNvPr>
        <xdr:cNvSpPr>
          <a:spLocks noChangeShapeType="1"/>
        </xdr:cNvSpPr>
      </xdr:nvSpPr>
      <xdr:spPr bwMode="auto">
        <a:xfrm>
          <a:off x="6606540" y="3248025"/>
          <a:ext cx="21635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292826</xdr:colOff>
      <xdr:row>19</xdr:row>
      <xdr:rowOff>109946</xdr:rowOff>
    </xdr:from>
    <xdr:to>
      <xdr:col>9</xdr:col>
      <xdr:colOff>620758</xdr:colOff>
      <xdr:row>19</xdr:row>
      <xdr:rowOff>109946</xdr:rowOff>
    </xdr:to>
    <xdr:sp macro="" textlink="">
      <xdr:nvSpPr>
        <xdr:cNvPr id="29" name="Line 510">
          <a:extLst>
            <a:ext uri="{FF2B5EF4-FFF2-40B4-BE49-F238E27FC236}">
              <a16:creationId xmlns:a16="http://schemas.microsoft.com/office/drawing/2014/main" id="{9232AE48-6CFE-4DC8-A235-6740189FCF54}"/>
            </a:ext>
          </a:extLst>
        </xdr:cNvPr>
        <xdr:cNvSpPr>
          <a:spLocks noChangeShapeType="1"/>
        </xdr:cNvSpPr>
      </xdr:nvSpPr>
      <xdr:spPr bwMode="auto">
        <a:xfrm>
          <a:off x="6558915" y="3613785"/>
          <a:ext cx="229416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217714</xdr:colOff>
      <xdr:row>46</xdr:row>
      <xdr:rowOff>0</xdr:rowOff>
    </xdr:from>
    <xdr:to>
      <xdr:col>7</xdr:col>
      <xdr:colOff>8164</xdr:colOff>
      <xdr:row>46</xdr:row>
      <xdr:rowOff>0</xdr:rowOff>
    </xdr:to>
    <xdr:sp macro="" textlink="">
      <xdr:nvSpPr>
        <xdr:cNvPr id="30" name="Line 510">
          <a:extLst>
            <a:ext uri="{FF2B5EF4-FFF2-40B4-BE49-F238E27FC236}">
              <a16:creationId xmlns:a16="http://schemas.microsoft.com/office/drawing/2014/main" id="{23680FAC-57A5-4EC5-9195-27E8A83C79F5}"/>
            </a:ext>
          </a:extLst>
        </xdr:cNvPr>
        <xdr:cNvSpPr>
          <a:spLocks noChangeShapeType="1"/>
        </xdr:cNvSpPr>
      </xdr:nvSpPr>
      <xdr:spPr bwMode="auto">
        <a:xfrm>
          <a:off x="4606018" y="8490857"/>
          <a:ext cx="229416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564696</xdr:colOff>
      <xdr:row>48</xdr:row>
      <xdr:rowOff>102054</xdr:rowOff>
    </xdr:from>
    <xdr:to>
      <xdr:col>6</xdr:col>
      <xdr:colOff>299357</xdr:colOff>
      <xdr:row>48</xdr:row>
      <xdr:rowOff>102054</xdr:rowOff>
    </xdr:to>
    <xdr:sp macro="" textlink="">
      <xdr:nvSpPr>
        <xdr:cNvPr id="31" name="Line 510">
          <a:extLst>
            <a:ext uri="{FF2B5EF4-FFF2-40B4-BE49-F238E27FC236}">
              <a16:creationId xmlns:a16="http://schemas.microsoft.com/office/drawing/2014/main" id="{6DAABC49-CA6E-4F4E-B2C0-90A67FCF55D4}"/>
            </a:ext>
          </a:extLst>
        </xdr:cNvPr>
        <xdr:cNvSpPr>
          <a:spLocks noChangeShapeType="1"/>
        </xdr:cNvSpPr>
      </xdr:nvSpPr>
      <xdr:spPr bwMode="auto">
        <a:xfrm>
          <a:off x="4953000" y="8960304"/>
          <a:ext cx="161244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625112</xdr:colOff>
      <xdr:row>30</xdr:row>
      <xdr:rowOff>81099</xdr:rowOff>
    </xdr:from>
    <xdr:to>
      <xdr:col>2</xdr:col>
      <xdr:colOff>625112</xdr:colOff>
      <xdr:row>40</xdr:row>
      <xdr:rowOff>81099</xdr:rowOff>
    </xdr:to>
    <xdr:sp macro="" textlink="">
      <xdr:nvSpPr>
        <xdr:cNvPr id="2" name="Line 285">
          <a:extLst>
            <a:ext uri="{FF2B5EF4-FFF2-40B4-BE49-F238E27FC236}">
              <a16:creationId xmlns:a16="http://schemas.microsoft.com/office/drawing/2014/main" id="{D40090A1-88D1-4DDC-A576-2E33E6E9249A}"/>
            </a:ext>
          </a:extLst>
        </xdr:cNvPr>
        <xdr:cNvSpPr>
          <a:spLocks noChangeShapeType="1"/>
        </xdr:cNvSpPr>
      </xdr:nvSpPr>
      <xdr:spPr bwMode="auto">
        <a:xfrm>
          <a:off x="1564005" y="5632813"/>
          <a:ext cx="0" cy="183696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342084</xdr:colOff>
      <xdr:row>30</xdr:row>
      <xdr:rowOff>131445</xdr:rowOff>
    </xdr:from>
    <xdr:to>
      <xdr:col>3</xdr:col>
      <xdr:colOff>342084</xdr:colOff>
      <xdr:row>40</xdr:row>
      <xdr:rowOff>131445</xdr:rowOff>
    </xdr:to>
    <xdr:sp macro="" textlink="">
      <xdr:nvSpPr>
        <xdr:cNvPr id="3" name="Line 285">
          <a:extLst>
            <a:ext uri="{FF2B5EF4-FFF2-40B4-BE49-F238E27FC236}">
              <a16:creationId xmlns:a16="http://schemas.microsoft.com/office/drawing/2014/main" id="{6D5368CD-61D9-40F7-959E-EFF0277F28CA}"/>
            </a:ext>
          </a:extLst>
        </xdr:cNvPr>
        <xdr:cNvSpPr>
          <a:spLocks noChangeShapeType="1"/>
        </xdr:cNvSpPr>
      </xdr:nvSpPr>
      <xdr:spPr bwMode="auto">
        <a:xfrm>
          <a:off x="1906905" y="5683159"/>
          <a:ext cx="0" cy="183696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99876</xdr:colOff>
      <xdr:row>30</xdr:row>
      <xdr:rowOff>113756</xdr:rowOff>
    </xdr:from>
    <xdr:to>
      <xdr:col>4</xdr:col>
      <xdr:colOff>99876</xdr:colOff>
      <xdr:row>40</xdr:row>
      <xdr:rowOff>113756</xdr:rowOff>
    </xdr:to>
    <xdr:sp macro="" textlink="">
      <xdr:nvSpPr>
        <xdr:cNvPr id="4" name="Line 285">
          <a:extLst>
            <a:ext uri="{FF2B5EF4-FFF2-40B4-BE49-F238E27FC236}">
              <a16:creationId xmlns:a16="http://schemas.microsoft.com/office/drawing/2014/main" id="{ACBA2593-34A3-4B89-A442-A8BE151A4EA1}"/>
            </a:ext>
          </a:extLst>
        </xdr:cNvPr>
        <xdr:cNvSpPr>
          <a:spLocks noChangeShapeType="1"/>
        </xdr:cNvSpPr>
      </xdr:nvSpPr>
      <xdr:spPr bwMode="auto">
        <a:xfrm>
          <a:off x="2290626" y="5665470"/>
          <a:ext cx="0" cy="183696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517615</xdr:colOff>
      <xdr:row>30</xdr:row>
      <xdr:rowOff>89263</xdr:rowOff>
    </xdr:from>
    <xdr:to>
      <xdr:col>4</xdr:col>
      <xdr:colOff>517615</xdr:colOff>
      <xdr:row>40</xdr:row>
      <xdr:rowOff>89263</xdr:rowOff>
    </xdr:to>
    <xdr:sp macro="" textlink="">
      <xdr:nvSpPr>
        <xdr:cNvPr id="5" name="Line 285">
          <a:extLst>
            <a:ext uri="{FF2B5EF4-FFF2-40B4-BE49-F238E27FC236}">
              <a16:creationId xmlns:a16="http://schemas.microsoft.com/office/drawing/2014/main" id="{DABBE7DA-6C53-4384-A3FB-2E2BE1B4FED8}"/>
            </a:ext>
          </a:extLst>
        </xdr:cNvPr>
        <xdr:cNvSpPr>
          <a:spLocks noChangeShapeType="1"/>
        </xdr:cNvSpPr>
      </xdr:nvSpPr>
      <xdr:spPr bwMode="auto">
        <a:xfrm>
          <a:off x="2708365" y="5640977"/>
          <a:ext cx="0" cy="183696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391069</xdr:colOff>
      <xdr:row>30</xdr:row>
      <xdr:rowOff>105591</xdr:rowOff>
    </xdr:from>
    <xdr:to>
      <xdr:col>5</xdr:col>
      <xdr:colOff>391069</xdr:colOff>
      <xdr:row>40</xdr:row>
      <xdr:rowOff>105591</xdr:rowOff>
    </xdr:to>
    <xdr:sp macro="" textlink="">
      <xdr:nvSpPr>
        <xdr:cNvPr id="6" name="Line 285">
          <a:extLst>
            <a:ext uri="{FF2B5EF4-FFF2-40B4-BE49-F238E27FC236}">
              <a16:creationId xmlns:a16="http://schemas.microsoft.com/office/drawing/2014/main" id="{E3509B6C-915C-4AD4-AFDC-AC92CC26A3CB}"/>
            </a:ext>
          </a:extLst>
        </xdr:cNvPr>
        <xdr:cNvSpPr>
          <a:spLocks noChangeShapeType="1"/>
        </xdr:cNvSpPr>
      </xdr:nvSpPr>
      <xdr:spPr bwMode="auto">
        <a:xfrm>
          <a:off x="3207748" y="5657305"/>
          <a:ext cx="0" cy="183696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238127</xdr:colOff>
      <xdr:row>30</xdr:row>
      <xdr:rowOff>134712</xdr:rowOff>
    </xdr:from>
    <xdr:to>
      <xdr:col>6</xdr:col>
      <xdr:colOff>238127</xdr:colOff>
      <xdr:row>40</xdr:row>
      <xdr:rowOff>134712</xdr:rowOff>
    </xdr:to>
    <xdr:sp macro="" textlink="">
      <xdr:nvSpPr>
        <xdr:cNvPr id="7" name="Line 285">
          <a:extLst>
            <a:ext uri="{FF2B5EF4-FFF2-40B4-BE49-F238E27FC236}">
              <a16:creationId xmlns:a16="http://schemas.microsoft.com/office/drawing/2014/main" id="{75C78421-582B-4AF8-9121-37B8D57131F2}"/>
            </a:ext>
          </a:extLst>
        </xdr:cNvPr>
        <xdr:cNvSpPr>
          <a:spLocks noChangeShapeType="1"/>
        </xdr:cNvSpPr>
      </xdr:nvSpPr>
      <xdr:spPr bwMode="auto">
        <a:xfrm>
          <a:off x="3680734" y="5686426"/>
          <a:ext cx="0" cy="183696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63953</xdr:colOff>
      <xdr:row>30</xdr:row>
      <xdr:rowOff>110214</xdr:rowOff>
    </xdr:from>
    <xdr:to>
      <xdr:col>7</xdr:col>
      <xdr:colOff>63953</xdr:colOff>
      <xdr:row>40</xdr:row>
      <xdr:rowOff>110214</xdr:rowOff>
    </xdr:to>
    <xdr:sp macro="" textlink="">
      <xdr:nvSpPr>
        <xdr:cNvPr id="8" name="Line 285">
          <a:extLst>
            <a:ext uri="{FF2B5EF4-FFF2-40B4-BE49-F238E27FC236}">
              <a16:creationId xmlns:a16="http://schemas.microsoft.com/office/drawing/2014/main" id="{8E1C3D59-822B-462D-9531-598FD88F64CF}"/>
            </a:ext>
          </a:extLst>
        </xdr:cNvPr>
        <xdr:cNvSpPr>
          <a:spLocks noChangeShapeType="1"/>
        </xdr:cNvSpPr>
      </xdr:nvSpPr>
      <xdr:spPr bwMode="auto">
        <a:xfrm>
          <a:off x="4132489" y="5661928"/>
          <a:ext cx="0" cy="183696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95250</xdr:colOff>
      <xdr:row>34</xdr:row>
      <xdr:rowOff>108858</xdr:rowOff>
    </xdr:from>
    <xdr:to>
      <xdr:col>7</xdr:col>
      <xdr:colOff>564696</xdr:colOff>
      <xdr:row>34</xdr:row>
      <xdr:rowOff>108858</xdr:rowOff>
    </xdr:to>
    <xdr:sp macro="" textlink="">
      <xdr:nvSpPr>
        <xdr:cNvPr id="10" name="Line 204">
          <a:extLst>
            <a:ext uri="{FF2B5EF4-FFF2-40B4-BE49-F238E27FC236}">
              <a16:creationId xmlns:a16="http://schemas.microsoft.com/office/drawing/2014/main" id="{ACE8485A-C964-4655-B378-2709DE928505}"/>
            </a:ext>
          </a:extLst>
        </xdr:cNvPr>
        <xdr:cNvSpPr>
          <a:spLocks noChangeShapeType="1"/>
        </xdr:cNvSpPr>
      </xdr:nvSpPr>
      <xdr:spPr bwMode="auto">
        <a:xfrm>
          <a:off x="1034143" y="6395358"/>
          <a:ext cx="3599089"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91167</xdr:colOff>
      <xdr:row>36</xdr:row>
      <xdr:rowOff>36740</xdr:rowOff>
    </xdr:from>
    <xdr:to>
      <xdr:col>7</xdr:col>
      <xdr:colOff>560613</xdr:colOff>
      <xdr:row>36</xdr:row>
      <xdr:rowOff>36740</xdr:rowOff>
    </xdr:to>
    <xdr:sp macro="" textlink="">
      <xdr:nvSpPr>
        <xdr:cNvPr id="11" name="Line 204">
          <a:extLst>
            <a:ext uri="{FF2B5EF4-FFF2-40B4-BE49-F238E27FC236}">
              <a16:creationId xmlns:a16="http://schemas.microsoft.com/office/drawing/2014/main" id="{86C1AE54-A649-4E03-ADC2-7E2A2EC3AA00}"/>
            </a:ext>
          </a:extLst>
        </xdr:cNvPr>
        <xdr:cNvSpPr>
          <a:spLocks noChangeShapeType="1"/>
        </xdr:cNvSpPr>
      </xdr:nvSpPr>
      <xdr:spPr bwMode="auto">
        <a:xfrm>
          <a:off x="1030060" y="6690633"/>
          <a:ext cx="3599089"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121103</xdr:colOff>
      <xdr:row>37</xdr:row>
      <xdr:rowOff>161926</xdr:rowOff>
    </xdr:from>
    <xdr:to>
      <xdr:col>7</xdr:col>
      <xdr:colOff>590549</xdr:colOff>
      <xdr:row>37</xdr:row>
      <xdr:rowOff>161926</xdr:rowOff>
    </xdr:to>
    <xdr:sp macro="" textlink="">
      <xdr:nvSpPr>
        <xdr:cNvPr id="12" name="Line 204">
          <a:extLst>
            <a:ext uri="{FF2B5EF4-FFF2-40B4-BE49-F238E27FC236}">
              <a16:creationId xmlns:a16="http://schemas.microsoft.com/office/drawing/2014/main" id="{181442CC-9981-4DF7-95A4-77E20AB79479}"/>
            </a:ext>
          </a:extLst>
        </xdr:cNvPr>
        <xdr:cNvSpPr>
          <a:spLocks noChangeShapeType="1"/>
        </xdr:cNvSpPr>
      </xdr:nvSpPr>
      <xdr:spPr bwMode="auto">
        <a:xfrm>
          <a:off x="1059996" y="6999515"/>
          <a:ext cx="3599089"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518160</xdr:colOff>
      <xdr:row>1</xdr:row>
      <xdr:rowOff>99060</xdr:rowOff>
    </xdr:from>
    <xdr:to>
      <xdr:col>1</xdr:col>
      <xdr:colOff>518160</xdr:colOff>
      <xdr:row>1</xdr:row>
      <xdr:rowOff>99060</xdr:rowOff>
    </xdr:to>
    <xdr:sp macro="" textlink="">
      <xdr:nvSpPr>
        <xdr:cNvPr id="2" name="Line 1">
          <a:extLst>
            <a:ext uri="{FF2B5EF4-FFF2-40B4-BE49-F238E27FC236}">
              <a16:creationId xmlns:a16="http://schemas.microsoft.com/office/drawing/2014/main" id="{FFB62A7E-ADE8-4840-A580-EFCAAFE9DF6A}"/>
            </a:ext>
          </a:extLst>
        </xdr:cNvPr>
        <xdr:cNvSpPr>
          <a:spLocks noChangeShapeType="1"/>
        </xdr:cNvSpPr>
      </xdr:nvSpPr>
      <xdr:spPr bwMode="auto">
        <a:xfrm>
          <a:off x="1127760" y="3048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480060</xdr:colOff>
      <xdr:row>2</xdr:row>
      <xdr:rowOff>114300</xdr:rowOff>
    </xdr:from>
    <xdr:to>
      <xdr:col>1</xdr:col>
      <xdr:colOff>518160</xdr:colOff>
      <xdr:row>2</xdr:row>
      <xdr:rowOff>114300</xdr:rowOff>
    </xdr:to>
    <xdr:sp macro="" textlink="">
      <xdr:nvSpPr>
        <xdr:cNvPr id="3" name="Line 2">
          <a:extLst>
            <a:ext uri="{FF2B5EF4-FFF2-40B4-BE49-F238E27FC236}">
              <a16:creationId xmlns:a16="http://schemas.microsoft.com/office/drawing/2014/main" id="{BB6BD387-C7B7-4371-A27E-7190051B8B82}"/>
            </a:ext>
          </a:extLst>
        </xdr:cNvPr>
        <xdr:cNvSpPr>
          <a:spLocks noChangeShapeType="1"/>
        </xdr:cNvSpPr>
      </xdr:nvSpPr>
      <xdr:spPr bwMode="auto">
        <a:xfrm>
          <a:off x="1089660" y="487680"/>
          <a:ext cx="381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487680</xdr:colOff>
      <xdr:row>3</xdr:row>
      <xdr:rowOff>91440</xdr:rowOff>
    </xdr:from>
    <xdr:to>
      <xdr:col>1</xdr:col>
      <xdr:colOff>518160</xdr:colOff>
      <xdr:row>3</xdr:row>
      <xdr:rowOff>91440</xdr:rowOff>
    </xdr:to>
    <xdr:sp macro="" textlink="">
      <xdr:nvSpPr>
        <xdr:cNvPr id="4" name="Line 3">
          <a:extLst>
            <a:ext uri="{FF2B5EF4-FFF2-40B4-BE49-F238E27FC236}">
              <a16:creationId xmlns:a16="http://schemas.microsoft.com/office/drawing/2014/main" id="{B4B98223-088B-4E0A-AFC2-86DBD73B6E43}"/>
            </a:ext>
          </a:extLst>
        </xdr:cNvPr>
        <xdr:cNvSpPr>
          <a:spLocks noChangeShapeType="1"/>
        </xdr:cNvSpPr>
      </xdr:nvSpPr>
      <xdr:spPr bwMode="auto">
        <a:xfrm>
          <a:off x="1097280" y="662940"/>
          <a:ext cx="304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457200</xdr:colOff>
      <xdr:row>4</xdr:row>
      <xdr:rowOff>114300</xdr:rowOff>
    </xdr:from>
    <xdr:to>
      <xdr:col>1</xdr:col>
      <xdr:colOff>518160</xdr:colOff>
      <xdr:row>4</xdr:row>
      <xdr:rowOff>114300</xdr:rowOff>
    </xdr:to>
    <xdr:sp macro="" textlink="">
      <xdr:nvSpPr>
        <xdr:cNvPr id="5" name="Line 4">
          <a:extLst>
            <a:ext uri="{FF2B5EF4-FFF2-40B4-BE49-F238E27FC236}">
              <a16:creationId xmlns:a16="http://schemas.microsoft.com/office/drawing/2014/main" id="{364B14A0-EEF1-489D-8E5F-D1C3079BD718}"/>
            </a:ext>
          </a:extLst>
        </xdr:cNvPr>
        <xdr:cNvSpPr>
          <a:spLocks noChangeShapeType="1"/>
        </xdr:cNvSpPr>
      </xdr:nvSpPr>
      <xdr:spPr bwMode="auto">
        <a:xfrm>
          <a:off x="1066800" y="883920"/>
          <a:ext cx="609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373380</xdr:colOff>
      <xdr:row>41</xdr:row>
      <xdr:rowOff>121920</xdr:rowOff>
    </xdr:from>
    <xdr:to>
      <xdr:col>1</xdr:col>
      <xdr:colOff>495300</xdr:colOff>
      <xdr:row>41</xdr:row>
      <xdr:rowOff>129540</xdr:rowOff>
    </xdr:to>
    <xdr:sp macro="" textlink="">
      <xdr:nvSpPr>
        <xdr:cNvPr id="6" name="Line 5">
          <a:extLst>
            <a:ext uri="{FF2B5EF4-FFF2-40B4-BE49-F238E27FC236}">
              <a16:creationId xmlns:a16="http://schemas.microsoft.com/office/drawing/2014/main" id="{34FDB54F-3BE5-4166-BCB1-B78F0B66D367}"/>
            </a:ext>
          </a:extLst>
        </xdr:cNvPr>
        <xdr:cNvSpPr>
          <a:spLocks noChangeShapeType="1"/>
        </xdr:cNvSpPr>
      </xdr:nvSpPr>
      <xdr:spPr bwMode="auto">
        <a:xfrm flipV="1">
          <a:off x="982980" y="7818120"/>
          <a:ext cx="121920" cy="76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419100</xdr:colOff>
      <xdr:row>1</xdr:row>
      <xdr:rowOff>106680</xdr:rowOff>
    </xdr:from>
    <xdr:to>
      <xdr:col>1</xdr:col>
      <xdr:colOff>502920</xdr:colOff>
      <xdr:row>1</xdr:row>
      <xdr:rowOff>114300</xdr:rowOff>
    </xdr:to>
    <xdr:sp macro="" textlink="">
      <xdr:nvSpPr>
        <xdr:cNvPr id="7" name="Line 6">
          <a:extLst>
            <a:ext uri="{FF2B5EF4-FFF2-40B4-BE49-F238E27FC236}">
              <a16:creationId xmlns:a16="http://schemas.microsoft.com/office/drawing/2014/main" id="{E7F0E657-9140-4CC8-9569-84244B199C8D}"/>
            </a:ext>
          </a:extLst>
        </xdr:cNvPr>
        <xdr:cNvSpPr>
          <a:spLocks noChangeShapeType="1"/>
        </xdr:cNvSpPr>
      </xdr:nvSpPr>
      <xdr:spPr bwMode="auto">
        <a:xfrm flipV="1">
          <a:off x="1028700" y="312420"/>
          <a:ext cx="83820" cy="76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373380</xdr:colOff>
      <xdr:row>41</xdr:row>
      <xdr:rowOff>121920</xdr:rowOff>
    </xdr:from>
    <xdr:to>
      <xdr:col>10</xdr:col>
      <xdr:colOff>495300</xdr:colOff>
      <xdr:row>41</xdr:row>
      <xdr:rowOff>129540</xdr:rowOff>
    </xdr:to>
    <xdr:sp macro="" textlink="">
      <xdr:nvSpPr>
        <xdr:cNvPr id="8" name="Line 7">
          <a:extLst>
            <a:ext uri="{FF2B5EF4-FFF2-40B4-BE49-F238E27FC236}">
              <a16:creationId xmlns:a16="http://schemas.microsoft.com/office/drawing/2014/main" id="{6BB1DE05-DE4A-4933-962E-A8ADCA0075AB}"/>
            </a:ext>
          </a:extLst>
        </xdr:cNvPr>
        <xdr:cNvSpPr>
          <a:spLocks noChangeShapeType="1"/>
        </xdr:cNvSpPr>
      </xdr:nvSpPr>
      <xdr:spPr bwMode="auto">
        <a:xfrm flipV="1">
          <a:off x="6294120" y="7818120"/>
          <a:ext cx="121920" cy="76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ush\Downloads\207460484-Ractangular-Ground-Water-Tank.xls" TargetMode="External"/><Relationship Id="rId1" Type="http://schemas.openxmlformats.org/officeDocument/2006/relationships/externalLinkPath" Target="file:///C:\Users\Anush\Downloads\207460484-Ractangular-Ground-Water-Tan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Data sheet"/>
      <sheetName val="Design"/>
      <sheetName val="Drawing "/>
      <sheetName val="IS-Table"/>
    </sheetNames>
    <sheetDataSet>
      <sheetData sheetId="0"/>
      <sheetData sheetId="1">
        <row r="8">
          <cell r="F8">
            <v>17</v>
          </cell>
        </row>
        <row r="9">
          <cell r="J9">
            <v>25000</v>
          </cell>
        </row>
        <row r="10">
          <cell r="F10">
            <v>7</v>
          </cell>
        </row>
        <row r="11">
          <cell r="F11">
            <v>415</v>
          </cell>
        </row>
        <row r="20">
          <cell r="F20">
            <v>20</v>
          </cell>
        </row>
        <row r="23">
          <cell r="F23">
            <v>20</v>
          </cell>
        </row>
      </sheetData>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5B02DA-680C-4AFB-A371-0C5ED78F9228}" name="Table1" displayName="Table1" ref="D4:K43" headerRowCount="0" totalsRowShown="0" headerRowDxfId="17" dataDxfId="16">
  <tableColumns count="8">
    <tableColumn id="1" xr3:uid="{9D70DF26-D725-49C8-BD75-A0697BC7654F}" name="Column1" headerRowDxfId="15" dataDxfId="14"/>
    <tableColumn id="2" xr3:uid="{5B7B9740-92D7-42D7-BCB0-EFCF64885858}" name="Column2" headerRowDxfId="13" dataDxfId="12"/>
    <tableColumn id="3" xr3:uid="{6CF34041-602F-41A5-86A3-21FE25BEDE98}" name="Column3" headerRowDxfId="11" dataDxfId="10"/>
    <tableColumn id="4" xr3:uid="{6BD5F222-91AA-4B12-9727-CECD09D9000D}" name="Column4" headerRowDxfId="9" dataDxfId="8">
      <calculatedColumnFormula>Calculations!Q66</calculatedColumnFormula>
    </tableColumn>
    <tableColumn id="5" xr3:uid="{0AD80466-9219-471B-8F2B-136BDA04FC26}" name="Column5" headerRowDxfId="7" dataDxfId="6"/>
    <tableColumn id="6" xr3:uid="{A2D7C14D-9354-40FA-B269-413B88C259A7}" name="Column6" headerRowDxfId="5" dataDxfId="4"/>
    <tableColumn id="7" xr3:uid="{6E9F0661-F218-47ED-8864-9700F9181C1D}" name="Column7" headerRowDxfId="3" dataDxfId="2"/>
    <tableColumn id="8" xr3:uid="{F70CFA53-DDFA-4A06-B883-6BA1F624C0F0}" name="Column8" headerRowDxfId="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4A93-CF1F-45D7-83A5-D36764796E42}">
  <sheetPr codeName="Sheet1">
    <tabColor rgb="FFFFFF00"/>
  </sheetPr>
  <dimension ref="A1:J92"/>
  <sheetViews>
    <sheetView topLeftCell="A10" zoomScale="92" zoomScaleNormal="92" workbookViewId="0">
      <selection activeCell="B34" sqref="B34"/>
    </sheetView>
  </sheetViews>
  <sheetFormatPr defaultColWidth="8.88671875" defaultRowHeight="15.6" x14ac:dyDescent="0.3"/>
  <cols>
    <col min="1" max="1" width="5.21875" style="93" customWidth="1"/>
    <col min="2" max="2" width="76.33203125" style="93" bestFit="1" customWidth="1"/>
    <col min="3" max="3" width="58.88671875" style="93" bestFit="1" customWidth="1"/>
    <col min="4" max="5" width="23.6640625" style="93" bestFit="1" customWidth="1"/>
    <col min="6" max="16384" width="8.88671875" style="93"/>
  </cols>
  <sheetData>
    <row r="1" spans="1:10" ht="36.6" customHeight="1" x14ac:dyDescent="0.55000000000000004">
      <c r="B1" s="452" t="s">
        <v>4</v>
      </c>
      <c r="C1" s="452"/>
      <c r="D1" s="455" t="s">
        <v>368</v>
      </c>
      <c r="E1" s="456"/>
      <c r="F1" s="456"/>
      <c r="G1" s="450"/>
    </row>
    <row r="2" spans="1:10" ht="18" customHeight="1" x14ac:dyDescent="0.3">
      <c r="A2" s="92"/>
      <c r="B2" s="454" t="s">
        <v>373</v>
      </c>
      <c r="C2" s="454"/>
      <c r="D2" s="456"/>
      <c r="E2" s="456"/>
      <c r="F2" s="456"/>
    </row>
    <row r="3" spans="1:10" x14ac:dyDescent="0.3">
      <c r="A3" s="451"/>
      <c r="B3" s="454"/>
      <c r="C3" s="454"/>
      <c r="D3" s="456"/>
      <c r="E3" s="456"/>
      <c r="F3" s="456"/>
    </row>
    <row r="4" spans="1:10" x14ac:dyDescent="0.3">
      <c r="A4" s="451"/>
      <c r="B4" s="454"/>
      <c r="C4" s="454"/>
      <c r="D4" s="456"/>
      <c r="E4" s="456"/>
      <c r="F4" s="456"/>
    </row>
    <row r="5" spans="1:10" x14ac:dyDescent="0.3">
      <c r="A5" s="451"/>
      <c r="B5" s="454"/>
      <c r="C5" s="454"/>
      <c r="D5" s="456"/>
      <c r="E5" s="456"/>
      <c r="F5" s="456"/>
    </row>
    <row r="6" spans="1:10" x14ac:dyDescent="0.3">
      <c r="A6" s="451"/>
      <c r="B6" s="454"/>
      <c r="C6" s="454"/>
      <c r="D6" s="456"/>
      <c r="E6" s="456"/>
      <c r="F6" s="456"/>
    </row>
    <row r="7" spans="1:10" x14ac:dyDescent="0.3">
      <c r="A7" s="451"/>
      <c r="B7" s="454"/>
      <c r="C7" s="454"/>
      <c r="D7" s="456"/>
      <c r="E7" s="456"/>
      <c r="F7" s="456"/>
    </row>
    <row r="8" spans="1:10" x14ac:dyDescent="0.3">
      <c r="A8" s="451"/>
      <c r="B8" s="454"/>
      <c r="C8" s="454"/>
      <c r="D8" s="456"/>
      <c r="E8" s="456"/>
      <c r="F8" s="456"/>
    </row>
    <row r="9" spans="1:10" x14ac:dyDescent="0.3">
      <c r="A9" s="451"/>
      <c r="B9" s="454"/>
      <c r="C9" s="454"/>
      <c r="D9" s="456"/>
      <c r="E9" s="456"/>
      <c r="F9" s="456"/>
    </row>
    <row r="10" spans="1:10" ht="61.2" customHeight="1" x14ac:dyDescent="0.3">
      <c r="A10" s="451"/>
      <c r="B10" s="454"/>
      <c r="C10" s="454"/>
      <c r="D10" s="456"/>
      <c r="E10" s="456"/>
      <c r="F10" s="456"/>
    </row>
    <row r="11" spans="1:10" x14ac:dyDescent="0.3">
      <c r="D11" s="92"/>
    </row>
    <row r="12" spans="1:10" x14ac:dyDescent="0.3">
      <c r="B12" s="94" t="s">
        <v>6</v>
      </c>
      <c r="C12" s="95">
        <v>50000</v>
      </c>
      <c r="D12" s="92"/>
    </row>
    <row r="13" spans="1:10" ht="17.399999999999999" x14ac:dyDescent="0.3">
      <c r="B13" s="94" t="s">
        <v>279</v>
      </c>
      <c r="C13" s="95">
        <f>C12/1000</f>
        <v>50</v>
      </c>
      <c r="D13" s="92"/>
    </row>
    <row r="14" spans="1:10" x14ac:dyDescent="0.3">
      <c r="B14" s="94" t="s">
        <v>7</v>
      </c>
      <c r="C14" s="95">
        <v>2</v>
      </c>
      <c r="D14" s="92"/>
      <c r="E14" s="96" t="s">
        <v>0</v>
      </c>
    </row>
    <row r="15" spans="1:10" x14ac:dyDescent="0.3">
      <c r="B15" s="94" t="s">
        <v>8</v>
      </c>
      <c r="C15" s="95">
        <v>45</v>
      </c>
      <c r="D15" s="92"/>
      <c r="E15" s="96" t="s">
        <v>1</v>
      </c>
    </row>
    <row r="16" spans="1:10" ht="17.399999999999999" x14ac:dyDescent="0.3">
      <c r="B16" s="94" t="s">
        <v>280</v>
      </c>
      <c r="C16" s="95">
        <v>16</v>
      </c>
      <c r="D16" s="92"/>
      <c r="J16" s="92"/>
    </row>
    <row r="17" spans="1:6" ht="17.399999999999999" x14ac:dyDescent="0.3">
      <c r="B17" s="94" t="s">
        <v>281</v>
      </c>
      <c r="C17" s="95">
        <v>9.81</v>
      </c>
      <c r="D17" s="92"/>
    </row>
    <row r="18" spans="1:6" ht="17.399999999999999" x14ac:dyDescent="0.3">
      <c r="A18" s="92"/>
      <c r="B18" s="94" t="s">
        <v>282</v>
      </c>
      <c r="C18" s="95">
        <v>30</v>
      </c>
      <c r="D18" s="92"/>
    </row>
    <row r="19" spans="1:6" x14ac:dyDescent="0.3">
      <c r="A19" s="92"/>
      <c r="B19" s="92"/>
      <c r="C19" s="92"/>
      <c r="D19" s="92"/>
    </row>
    <row r="20" spans="1:6" ht="18.600000000000001" x14ac:dyDescent="0.4">
      <c r="A20" s="92"/>
      <c r="B20" s="92"/>
      <c r="C20" s="92"/>
      <c r="D20" s="92"/>
      <c r="E20" s="97" t="s">
        <v>283</v>
      </c>
      <c r="F20" s="98">
        <v>150</v>
      </c>
    </row>
    <row r="21" spans="1:6" ht="18.600000000000001" x14ac:dyDescent="0.4">
      <c r="A21" s="92"/>
      <c r="B21" s="99" t="s">
        <v>284</v>
      </c>
      <c r="C21" s="100">
        <f>IF(AND(C18=25),1.8,IF(C18=30,2,IF(C18=35,2.2,IF(C18=40,2.4,"Only allowed between M25 and M40"))))</f>
        <v>2</v>
      </c>
      <c r="D21" s="92"/>
      <c r="E21" s="96" t="s">
        <v>285</v>
      </c>
      <c r="F21" s="98">
        <f>C18/3</f>
        <v>10</v>
      </c>
    </row>
    <row r="22" spans="1:6" ht="17.399999999999999" x14ac:dyDescent="0.3">
      <c r="A22" s="92"/>
      <c r="B22" s="99" t="s">
        <v>286</v>
      </c>
      <c r="C22" s="100">
        <f>IF(AND(C18=25),1.3,IF(C18=30,1.5,IF(C18=35,1.6,IF(C18=40,1.7,"Only allowed between M25 and M40"))))</f>
        <v>1.5</v>
      </c>
      <c r="D22" s="92"/>
      <c r="E22" s="96" t="s">
        <v>2</v>
      </c>
      <c r="F22" s="98">
        <f>280/(F21*3)</f>
        <v>9.3333333333333339</v>
      </c>
    </row>
    <row r="23" spans="1:6" ht="17.399999999999999" x14ac:dyDescent="0.3">
      <c r="A23" s="92"/>
      <c r="B23" s="99" t="s">
        <v>287</v>
      </c>
      <c r="C23" s="100">
        <f>C13/C14</f>
        <v>25</v>
      </c>
      <c r="D23" s="92"/>
      <c r="E23" s="96" t="s">
        <v>3</v>
      </c>
      <c r="F23" s="98">
        <f>F22*F21/(F22*F21 +F20)</f>
        <v>0.38356164383561647</v>
      </c>
    </row>
    <row r="24" spans="1:6" x14ac:dyDescent="0.3">
      <c r="A24" s="92"/>
      <c r="B24" s="99" t="s">
        <v>9</v>
      </c>
      <c r="C24" s="100">
        <f>(C23/3)^0.5</f>
        <v>2.8867513459481291</v>
      </c>
      <c r="D24" s="92"/>
      <c r="E24" s="96" t="s">
        <v>5</v>
      </c>
      <c r="F24" s="98">
        <f>1-F23/3</f>
        <v>0.87214611872146119</v>
      </c>
    </row>
    <row r="25" spans="1:6" ht="18" x14ac:dyDescent="0.4">
      <c r="A25" s="92"/>
      <c r="B25" s="99" t="s">
        <v>10</v>
      </c>
      <c r="C25" s="100">
        <f>C24*3</f>
        <v>8.6602540378443873</v>
      </c>
      <c r="D25" s="92"/>
      <c r="E25" s="96" t="s">
        <v>288</v>
      </c>
      <c r="F25" s="98">
        <f>0.5*F23*F24*F21</f>
        <v>1.6726089948082821</v>
      </c>
    </row>
    <row r="26" spans="1:6" x14ac:dyDescent="0.3">
      <c r="A26" s="92"/>
      <c r="B26" s="92"/>
      <c r="C26" s="92"/>
      <c r="D26" s="92"/>
    </row>
    <row r="27" spans="1:6" x14ac:dyDescent="0.3">
      <c r="A27" s="92"/>
      <c r="B27" s="92"/>
      <c r="C27" s="92"/>
      <c r="D27" s="92"/>
    </row>
    <row r="28" spans="1:6" x14ac:dyDescent="0.3">
      <c r="A28" s="92"/>
      <c r="B28" s="92"/>
      <c r="C28" s="92"/>
      <c r="D28" s="92"/>
    </row>
    <row r="29" spans="1:6" x14ac:dyDescent="0.3">
      <c r="A29" s="92"/>
      <c r="B29" s="92"/>
      <c r="C29" s="92"/>
      <c r="D29" s="92"/>
    </row>
    <row r="30" spans="1:6" x14ac:dyDescent="0.3">
      <c r="A30" s="92"/>
      <c r="B30" s="92"/>
      <c r="C30" s="92"/>
      <c r="D30" s="92"/>
    </row>
    <row r="31" spans="1:6" x14ac:dyDescent="0.3">
      <c r="A31" s="92"/>
      <c r="B31" s="92"/>
      <c r="C31" s="92"/>
      <c r="D31" s="92"/>
    </row>
    <row r="32" spans="1:6" x14ac:dyDescent="0.3">
      <c r="A32" s="92"/>
      <c r="B32" s="92"/>
      <c r="C32" s="92"/>
      <c r="D32" s="92"/>
    </row>
    <row r="33" spans="1:4" ht="22.2" customHeight="1" x14ac:dyDescent="0.3">
      <c r="A33" s="92"/>
      <c r="B33" s="92"/>
      <c r="C33" s="92"/>
      <c r="D33" s="92"/>
    </row>
    <row r="34" spans="1:4" x14ac:dyDescent="0.3">
      <c r="A34" s="92"/>
      <c r="B34" s="92"/>
      <c r="C34" s="92"/>
      <c r="D34" s="92"/>
    </row>
    <row r="35" spans="1:4" x14ac:dyDescent="0.3">
      <c r="A35" s="92"/>
      <c r="B35" s="92"/>
      <c r="C35" s="92"/>
      <c r="D35" s="92"/>
    </row>
    <row r="36" spans="1:4" x14ac:dyDescent="0.3">
      <c r="A36" s="92"/>
      <c r="B36" s="453"/>
      <c r="C36" s="453"/>
      <c r="D36" s="92"/>
    </row>
    <row r="37" spans="1:4" x14ac:dyDescent="0.3">
      <c r="A37" s="92"/>
      <c r="B37" s="92"/>
      <c r="C37" s="92"/>
      <c r="D37" s="92"/>
    </row>
    <row r="38" spans="1:4" x14ac:dyDescent="0.3">
      <c r="A38" s="92"/>
      <c r="B38" s="92"/>
      <c r="C38" s="92"/>
      <c r="D38" s="92"/>
    </row>
    <row r="39" spans="1:4" x14ac:dyDescent="0.3">
      <c r="A39" s="92"/>
      <c r="B39" s="92"/>
      <c r="C39" s="92"/>
      <c r="D39" s="92"/>
    </row>
    <row r="40" spans="1:4" x14ac:dyDescent="0.3">
      <c r="A40" s="92"/>
      <c r="B40" s="92"/>
      <c r="C40" s="92"/>
      <c r="D40" s="92"/>
    </row>
    <row r="41" spans="1:4" x14ac:dyDescent="0.3">
      <c r="A41" s="92"/>
      <c r="B41" s="92"/>
      <c r="C41" s="92"/>
      <c r="D41" s="92"/>
    </row>
    <row r="42" spans="1:4" x14ac:dyDescent="0.3">
      <c r="A42" s="92"/>
      <c r="B42" s="92"/>
      <c r="C42" s="92"/>
      <c r="D42" s="92"/>
    </row>
    <row r="43" spans="1:4" x14ac:dyDescent="0.3">
      <c r="A43" s="92"/>
      <c r="B43" s="92"/>
      <c r="C43" s="92"/>
      <c r="D43" s="92"/>
    </row>
    <row r="44" spans="1:4" x14ac:dyDescent="0.3">
      <c r="A44" s="92"/>
      <c r="B44" s="92"/>
      <c r="C44" s="92"/>
      <c r="D44" s="92"/>
    </row>
    <row r="45" spans="1:4" x14ac:dyDescent="0.3">
      <c r="A45" s="92"/>
      <c r="B45" s="92"/>
      <c r="C45" s="92"/>
      <c r="D45" s="92"/>
    </row>
    <row r="46" spans="1:4" x14ac:dyDescent="0.3">
      <c r="A46" s="92"/>
      <c r="B46" s="92"/>
      <c r="C46" s="92"/>
      <c r="D46" s="92"/>
    </row>
    <row r="47" spans="1:4" x14ac:dyDescent="0.3">
      <c r="A47" s="92"/>
      <c r="B47" s="92"/>
      <c r="C47" s="92"/>
      <c r="D47" s="92"/>
    </row>
    <row r="48" spans="1:4" x14ac:dyDescent="0.3">
      <c r="A48" s="92"/>
      <c r="B48" s="92"/>
      <c r="C48" s="92"/>
      <c r="D48" s="92"/>
    </row>
    <row r="49" spans="1:4" x14ac:dyDescent="0.3">
      <c r="A49" s="92"/>
      <c r="B49" s="92"/>
      <c r="C49" s="92"/>
      <c r="D49" s="92"/>
    </row>
    <row r="50" spans="1:4" x14ac:dyDescent="0.3">
      <c r="A50" s="92"/>
      <c r="B50" s="92"/>
      <c r="C50" s="92"/>
      <c r="D50" s="92"/>
    </row>
    <row r="51" spans="1:4" x14ac:dyDescent="0.3">
      <c r="A51" s="92"/>
      <c r="B51" s="92"/>
      <c r="C51" s="92"/>
      <c r="D51" s="92"/>
    </row>
    <row r="52" spans="1:4" x14ac:dyDescent="0.3">
      <c r="A52" s="92"/>
      <c r="B52" s="92"/>
      <c r="C52" s="92"/>
      <c r="D52" s="92"/>
    </row>
    <row r="53" spans="1:4" x14ac:dyDescent="0.3">
      <c r="A53" s="92"/>
      <c r="B53" s="92"/>
      <c r="C53" s="92"/>
      <c r="D53" s="92"/>
    </row>
    <row r="54" spans="1:4" x14ac:dyDescent="0.3">
      <c r="A54" s="92"/>
      <c r="B54" s="92"/>
      <c r="C54" s="92"/>
      <c r="D54" s="92"/>
    </row>
    <row r="55" spans="1:4" x14ac:dyDescent="0.3">
      <c r="A55" s="92"/>
      <c r="B55" s="92"/>
      <c r="C55" s="92"/>
      <c r="D55" s="92"/>
    </row>
    <row r="56" spans="1:4" x14ac:dyDescent="0.3">
      <c r="A56" s="92"/>
      <c r="B56" s="92"/>
      <c r="C56" s="92"/>
      <c r="D56" s="92"/>
    </row>
    <row r="57" spans="1:4" x14ac:dyDescent="0.3">
      <c r="A57" s="92"/>
      <c r="B57" s="92"/>
      <c r="C57" s="92"/>
      <c r="D57" s="92"/>
    </row>
    <row r="58" spans="1:4" x14ac:dyDescent="0.3">
      <c r="A58" s="92"/>
      <c r="B58" s="92"/>
      <c r="C58" s="92"/>
      <c r="D58" s="92"/>
    </row>
    <row r="59" spans="1:4" x14ac:dyDescent="0.3">
      <c r="A59" s="92"/>
      <c r="B59" s="92"/>
      <c r="C59" s="92"/>
      <c r="D59" s="92"/>
    </row>
    <row r="60" spans="1:4" x14ac:dyDescent="0.3">
      <c r="A60" s="92"/>
      <c r="B60" s="92"/>
      <c r="C60" s="92"/>
      <c r="D60" s="92"/>
    </row>
    <row r="61" spans="1:4" x14ac:dyDescent="0.3">
      <c r="A61" s="92"/>
      <c r="B61" s="92"/>
      <c r="C61" s="92"/>
      <c r="D61" s="92"/>
    </row>
    <row r="62" spans="1:4" x14ac:dyDescent="0.3">
      <c r="A62" s="92"/>
      <c r="B62" s="92"/>
      <c r="C62" s="92"/>
      <c r="D62" s="92"/>
    </row>
    <row r="63" spans="1:4" x14ac:dyDescent="0.3">
      <c r="A63" s="92"/>
      <c r="B63" s="92"/>
      <c r="C63" s="92"/>
      <c r="D63" s="92"/>
    </row>
    <row r="64" spans="1:4" x14ac:dyDescent="0.3">
      <c r="A64" s="92"/>
      <c r="B64" s="92"/>
      <c r="C64" s="92"/>
      <c r="D64" s="92"/>
    </row>
    <row r="65" spans="1:4" x14ac:dyDescent="0.3">
      <c r="A65" s="92"/>
      <c r="B65" s="92"/>
      <c r="C65" s="92"/>
      <c r="D65" s="92"/>
    </row>
    <row r="66" spans="1:4" x14ac:dyDescent="0.3">
      <c r="A66" s="92"/>
      <c r="B66" s="92"/>
      <c r="C66" s="92"/>
      <c r="D66" s="92"/>
    </row>
    <row r="67" spans="1:4" x14ac:dyDescent="0.3">
      <c r="A67" s="92"/>
      <c r="B67" s="92"/>
      <c r="C67" s="92"/>
      <c r="D67" s="92"/>
    </row>
    <row r="68" spans="1:4" x14ac:dyDescent="0.3">
      <c r="A68" s="92"/>
      <c r="B68" s="92"/>
      <c r="C68" s="92"/>
      <c r="D68" s="92"/>
    </row>
    <row r="69" spans="1:4" x14ac:dyDescent="0.3">
      <c r="A69" s="92"/>
      <c r="B69" s="92"/>
      <c r="C69" s="92"/>
      <c r="D69" s="92"/>
    </row>
    <row r="70" spans="1:4" x14ac:dyDescent="0.3">
      <c r="A70" s="92"/>
      <c r="B70" s="92"/>
      <c r="C70" s="92"/>
      <c r="D70" s="92"/>
    </row>
    <row r="71" spans="1:4" x14ac:dyDescent="0.3">
      <c r="A71" s="92"/>
      <c r="B71" s="92"/>
      <c r="C71" s="92"/>
      <c r="D71" s="92"/>
    </row>
    <row r="72" spans="1:4" x14ac:dyDescent="0.3">
      <c r="A72" s="92"/>
      <c r="B72" s="92"/>
      <c r="C72" s="92"/>
      <c r="D72" s="92"/>
    </row>
    <row r="73" spans="1:4" x14ac:dyDescent="0.3">
      <c r="A73" s="92"/>
      <c r="B73" s="92"/>
      <c r="C73" s="92"/>
      <c r="D73" s="92"/>
    </row>
    <row r="74" spans="1:4" x14ac:dyDescent="0.3">
      <c r="A74" s="92"/>
      <c r="B74" s="92"/>
      <c r="C74" s="92"/>
      <c r="D74" s="92"/>
    </row>
    <row r="75" spans="1:4" x14ac:dyDescent="0.3">
      <c r="A75" s="92"/>
      <c r="B75" s="92"/>
      <c r="C75" s="92"/>
      <c r="D75" s="92"/>
    </row>
    <row r="76" spans="1:4" x14ac:dyDescent="0.3">
      <c r="A76" s="92"/>
      <c r="B76" s="92"/>
      <c r="C76" s="92"/>
      <c r="D76" s="92"/>
    </row>
    <row r="77" spans="1:4" x14ac:dyDescent="0.3">
      <c r="A77" s="92"/>
      <c r="B77" s="92"/>
      <c r="C77" s="92"/>
      <c r="D77" s="92"/>
    </row>
    <row r="78" spans="1:4" x14ac:dyDescent="0.3">
      <c r="A78" s="92"/>
      <c r="B78" s="92"/>
      <c r="C78" s="92"/>
      <c r="D78" s="92"/>
    </row>
    <row r="79" spans="1:4" x14ac:dyDescent="0.3">
      <c r="A79" s="92"/>
      <c r="B79" s="92"/>
      <c r="C79" s="92"/>
      <c r="D79" s="92"/>
    </row>
    <row r="80" spans="1:4" x14ac:dyDescent="0.3">
      <c r="A80" s="92"/>
      <c r="B80" s="92"/>
      <c r="C80" s="92"/>
      <c r="D80" s="92"/>
    </row>
    <row r="81" spans="1:4" x14ac:dyDescent="0.3">
      <c r="A81" s="92"/>
      <c r="B81" s="92"/>
      <c r="C81" s="92"/>
      <c r="D81" s="92"/>
    </row>
    <row r="82" spans="1:4" x14ac:dyDescent="0.3">
      <c r="A82" s="92"/>
      <c r="B82" s="92"/>
      <c r="C82" s="92"/>
      <c r="D82" s="92"/>
    </row>
    <row r="83" spans="1:4" x14ac:dyDescent="0.3">
      <c r="A83" s="92"/>
      <c r="B83" s="92"/>
      <c r="C83" s="92"/>
      <c r="D83" s="92"/>
    </row>
    <row r="84" spans="1:4" x14ac:dyDescent="0.3">
      <c r="A84" s="92"/>
      <c r="B84" s="92"/>
      <c r="C84" s="92"/>
      <c r="D84" s="92"/>
    </row>
    <row r="85" spans="1:4" x14ac:dyDescent="0.3">
      <c r="A85" s="92"/>
      <c r="B85" s="92"/>
      <c r="C85" s="92"/>
      <c r="D85" s="92"/>
    </row>
    <row r="86" spans="1:4" x14ac:dyDescent="0.3">
      <c r="A86" s="92"/>
      <c r="B86" s="92"/>
      <c r="C86" s="92"/>
      <c r="D86" s="92"/>
    </row>
    <row r="87" spans="1:4" x14ac:dyDescent="0.3">
      <c r="A87" s="92"/>
      <c r="B87" s="92"/>
      <c r="C87" s="92"/>
      <c r="D87" s="92"/>
    </row>
    <row r="88" spans="1:4" x14ac:dyDescent="0.3">
      <c r="A88" s="92"/>
      <c r="B88" s="92"/>
      <c r="C88" s="92"/>
      <c r="D88" s="92"/>
    </row>
    <row r="89" spans="1:4" x14ac:dyDescent="0.3">
      <c r="A89" s="92"/>
      <c r="B89" s="92"/>
      <c r="C89" s="92"/>
      <c r="D89" s="92"/>
    </row>
    <row r="90" spans="1:4" x14ac:dyDescent="0.3">
      <c r="A90" s="92"/>
      <c r="B90" s="92"/>
      <c r="C90" s="92"/>
      <c r="D90" s="92"/>
    </row>
    <row r="91" spans="1:4" x14ac:dyDescent="0.3">
      <c r="A91" s="92"/>
      <c r="B91" s="92"/>
      <c r="C91" s="92"/>
      <c r="D91" s="92"/>
    </row>
    <row r="92" spans="1:4" x14ac:dyDescent="0.3">
      <c r="A92" s="92"/>
      <c r="B92" s="92"/>
      <c r="C92" s="92"/>
      <c r="D92" s="92"/>
    </row>
  </sheetData>
  <mergeCells count="4">
    <mergeCell ref="B1:C1"/>
    <mergeCell ref="B36:C36"/>
    <mergeCell ref="B2:C10"/>
    <mergeCell ref="D1: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BDF04-149E-4E41-A56D-230C3C8A4E0C}">
  <sheetPr>
    <tabColor rgb="FFFF0000"/>
  </sheetPr>
  <dimension ref="B1:AA203"/>
  <sheetViews>
    <sheetView topLeftCell="A54" zoomScale="112" zoomScaleNormal="112" workbookViewId="0">
      <selection activeCell="A69" sqref="A69"/>
    </sheetView>
  </sheetViews>
  <sheetFormatPr defaultColWidth="9.109375" defaultRowHeight="14.4" x14ac:dyDescent="0.3"/>
  <cols>
    <col min="1" max="1" width="39.21875" style="101" customWidth="1"/>
    <col min="2" max="2" width="3.5546875" style="101" customWidth="1"/>
    <col min="3" max="3" width="13.5546875" style="101" customWidth="1"/>
    <col min="4" max="4" width="4.5546875" style="101" customWidth="1"/>
    <col min="5" max="5" width="7.77734375" style="101" customWidth="1"/>
    <col min="6" max="6" width="6.6640625" style="101" customWidth="1"/>
    <col min="7" max="7" width="8.6640625" style="101" customWidth="1"/>
    <col min="8" max="8" width="4.21875" style="101" customWidth="1"/>
    <col min="9" max="9" width="10.109375" style="101" customWidth="1"/>
    <col min="10" max="10" width="4.33203125" style="101" customWidth="1"/>
    <col min="11" max="11" width="6.109375" style="101" customWidth="1"/>
    <col min="12" max="12" width="5.109375" style="101" customWidth="1"/>
    <col min="13" max="13" width="8.33203125" style="101" customWidth="1"/>
    <col min="14" max="14" width="7" style="101" customWidth="1"/>
    <col min="15" max="15" width="7.44140625" style="101" customWidth="1"/>
    <col min="16" max="16" width="2.33203125" style="101" customWidth="1"/>
    <col min="17" max="17" width="4.88671875" style="101" customWidth="1"/>
    <col min="18" max="18" width="5.109375" style="101" customWidth="1"/>
    <col min="19" max="19" width="6.5546875" style="101" customWidth="1"/>
    <col min="20" max="20" width="8" style="101" customWidth="1"/>
    <col min="21" max="21" width="5.44140625" style="101" customWidth="1"/>
    <col min="22" max="22" width="5.33203125" style="101" customWidth="1"/>
    <col min="23" max="23" width="9" style="101" customWidth="1"/>
    <col min="24" max="257" width="9.109375" style="101"/>
    <col min="258" max="258" width="2.33203125" style="101" customWidth="1"/>
    <col min="259" max="259" width="14.44140625" style="101" customWidth="1"/>
    <col min="260" max="260" width="2.6640625" style="101" customWidth="1"/>
    <col min="261" max="261" width="6.44140625" style="101" customWidth="1"/>
    <col min="262" max="262" width="4.6640625" style="101" customWidth="1"/>
    <col min="263" max="263" width="6.33203125" style="101" customWidth="1"/>
    <col min="264" max="264" width="3.33203125" style="101" customWidth="1"/>
    <col min="265" max="265" width="6.109375" style="101" customWidth="1"/>
    <col min="266" max="266" width="3.109375" style="101" customWidth="1"/>
    <col min="267" max="267" width="5.6640625" style="101" customWidth="1"/>
    <col min="268" max="268" width="2.88671875" style="101" customWidth="1"/>
    <col min="269" max="269" width="5.88671875" style="101" customWidth="1"/>
    <col min="270" max="270" width="2.5546875" style="101" customWidth="1"/>
    <col min="271" max="271" width="5.6640625" style="101" customWidth="1"/>
    <col min="272" max="272" width="2.33203125" style="101" customWidth="1"/>
    <col min="273" max="273" width="4.88671875" style="101" customWidth="1"/>
    <col min="274" max="274" width="2.109375" style="101" customWidth="1"/>
    <col min="275" max="275" width="5.44140625" style="101" customWidth="1"/>
    <col min="276" max="276" width="5.88671875" style="101" customWidth="1"/>
    <col min="277" max="277" width="5.44140625" style="101" customWidth="1"/>
    <col min="278" max="278" width="5.33203125" style="101" customWidth="1"/>
    <col min="279" max="279" width="9" style="101" customWidth="1"/>
    <col min="280" max="513" width="9.109375" style="101"/>
    <col min="514" max="514" width="2.33203125" style="101" customWidth="1"/>
    <col min="515" max="515" width="14.44140625" style="101" customWidth="1"/>
    <col min="516" max="516" width="2.6640625" style="101" customWidth="1"/>
    <col min="517" max="517" width="6.44140625" style="101" customWidth="1"/>
    <col min="518" max="518" width="4.6640625" style="101" customWidth="1"/>
    <col min="519" max="519" width="6.33203125" style="101" customWidth="1"/>
    <col min="520" max="520" width="3.33203125" style="101" customWidth="1"/>
    <col min="521" max="521" width="6.109375" style="101" customWidth="1"/>
    <col min="522" max="522" width="3.109375" style="101" customWidth="1"/>
    <col min="523" max="523" width="5.6640625" style="101" customWidth="1"/>
    <col min="524" max="524" width="2.88671875" style="101" customWidth="1"/>
    <col min="525" max="525" width="5.88671875" style="101" customWidth="1"/>
    <col min="526" max="526" width="2.5546875" style="101" customWidth="1"/>
    <col min="527" max="527" width="5.6640625" style="101" customWidth="1"/>
    <col min="528" max="528" width="2.33203125" style="101" customWidth="1"/>
    <col min="529" max="529" width="4.88671875" style="101" customWidth="1"/>
    <col min="530" max="530" width="2.109375" style="101" customWidth="1"/>
    <col min="531" max="531" width="5.44140625" style="101" customWidth="1"/>
    <col min="532" max="532" width="5.88671875" style="101" customWidth="1"/>
    <col min="533" max="533" width="5.44140625" style="101" customWidth="1"/>
    <col min="534" max="534" width="5.33203125" style="101" customWidth="1"/>
    <col min="535" max="535" width="9" style="101" customWidth="1"/>
    <col min="536" max="769" width="9.109375" style="101"/>
    <col min="770" max="770" width="2.33203125" style="101" customWidth="1"/>
    <col min="771" max="771" width="14.44140625" style="101" customWidth="1"/>
    <col min="772" max="772" width="2.6640625" style="101" customWidth="1"/>
    <col min="773" max="773" width="6.44140625" style="101" customWidth="1"/>
    <col min="774" max="774" width="4.6640625" style="101" customWidth="1"/>
    <col min="775" max="775" width="6.33203125" style="101" customWidth="1"/>
    <col min="776" max="776" width="3.33203125" style="101" customWidth="1"/>
    <col min="777" max="777" width="6.109375" style="101" customWidth="1"/>
    <col min="778" max="778" width="3.109375" style="101" customWidth="1"/>
    <col min="779" max="779" width="5.6640625" style="101" customWidth="1"/>
    <col min="780" max="780" width="2.88671875" style="101" customWidth="1"/>
    <col min="781" max="781" width="5.88671875" style="101" customWidth="1"/>
    <col min="782" max="782" width="2.5546875" style="101" customWidth="1"/>
    <col min="783" max="783" width="5.6640625" style="101" customWidth="1"/>
    <col min="784" max="784" width="2.33203125" style="101" customWidth="1"/>
    <col min="785" max="785" width="4.88671875" style="101" customWidth="1"/>
    <col min="786" max="786" width="2.109375" style="101" customWidth="1"/>
    <col min="787" max="787" width="5.44140625" style="101" customWidth="1"/>
    <col min="788" max="788" width="5.88671875" style="101" customWidth="1"/>
    <col min="789" max="789" width="5.44140625" style="101" customWidth="1"/>
    <col min="790" max="790" width="5.33203125" style="101" customWidth="1"/>
    <col min="791" max="791" width="9" style="101" customWidth="1"/>
    <col min="792" max="1025" width="9.109375" style="101"/>
    <col min="1026" max="1026" width="2.33203125" style="101" customWidth="1"/>
    <col min="1027" max="1027" width="14.44140625" style="101" customWidth="1"/>
    <col min="1028" max="1028" width="2.6640625" style="101" customWidth="1"/>
    <col min="1029" max="1029" width="6.44140625" style="101" customWidth="1"/>
    <col min="1030" max="1030" width="4.6640625" style="101" customWidth="1"/>
    <col min="1031" max="1031" width="6.33203125" style="101" customWidth="1"/>
    <col min="1032" max="1032" width="3.33203125" style="101" customWidth="1"/>
    <col min="1033" max="1033" width="6.109375" style="101" customWidth="1"/>
    <col min="1034" max="1034" width="3.109375" style="101" customWidth="1"/>
    <col min="1035" max="1035" width="5.6640625" style="101" customWidth="1"/>
    <col min="1036" max="1036" width="2.88671875" style="101" customWidth="1"/>
    <col min="1037" max="1037" width="5.88671875" style="101" customWidth="1"/>
    <col min="1038" max="1038" width="2.5546875" style="101" customWidth="1"/>
    <col min="1039" max="1039" width="5.6640625" style="101" customWidth="1"/>
    <col min="1040" max="1040" width="2.33203125" style="101" customWidth="1"/>
    <col min="1041" max="1041" width="4.88671875" style="101" customWidth="1"/>
    <col min="1042" max="1042" width="2.109375" style="101" customWidth="1"/>
    <col min="1043" max="1043" width="5.44140625" style="101" customWidth="1"/>
    <col min="1044" max="1044" width="5.88671875" style="101" customWidth="1"/>
    <col min="1045" max="1045" width="5.44140625" style="101" customWidth="1"/>
    <col min="1046" max="1046" width="5.33203125" style="101" customWidth="1"/>
    <col min="1047" max="1047" width="9" style="101" customWidth="1"/>
    <col min="1048" max="1281" width="9.109375" style="101"/>
    <col min="1282" max="1282" width="2.33203125" style="101" customWidth="1"/>
    <col min="1283" max="1283" width="14.44140625" style="101" customWidth="1"/>
    <col min="1284" max="1284" width="2.6640625" style="101" customWidth="1"/>
    <col min="1285" max="1285" width="6.44140625" style="101" customWidth="1"/>
    <col min="1286" max="1286" width="4.6640625" style="101" customWidth="1"/>
    <col min="1287" max="1287" width="6.33203125" style="101" customWidth="1"/>
    <col min="1288" max="1288" width="3.33203125" style="101" customWidth="1"/>
    <col min="1289" max="1289" width="6.109375" style="101" customWidth="1"/>
    <col min="1290" max="1290" width="3.109375" style="101" customWidth="1"/>
    <col min="1291" max="1291" width="5.6640625" style="101" customWidth="1"/>
    <col min="1292" max="1292" width="2.88671875" style="101" customWidth="1"/>
    <col min="1293" max="1293" width="5.88671875" style="101" customWidth="1"/>
    <col min="1294" max="1294" width="2.5546875" style="101" customWidth="1"/>
    <col min="1295" max="1295" width="5.6640625" style="101" customWidth="1"/>
    <col min="1296" max="1296" width="2.33203125" style="101" customWidth="1"/>
    <col min="1297" max="1297" width="4.88671875" style="101" customWidth="1"/>
    <col min="1298" max="1298" width="2.109375" style="101" customWidth="1"/>
    <col min="1299" max="1299" width="5.44140625" style="101" customWidth="1"/>
    <col min="1300" max="1300" width="5.88671875" style="101" customWidth="1"/>
    <col min="1301" max="1301" width="5.44140625" style="101" customWidth="1"/>
    <col min="1302" max="1302" width="5.33203125" style="101" customWidth="1"/>
    <col min="1303" max="1303" width="9" style="101" customWidth="1"/>
    <col min="1304" max="1537" width="9.109375" style="101"/>
    <col min="1538" max="1538" width="2.33203125" style="101" customWidth="1"/>
    <col min="1539" max="1539" width="14.44140625" style="101" customWidth="1"/>
    <col min="1540" max="1540" width="2.6640625" style="101" customWidth="1"/>
    <col min="1541" max="1541" width="6.44140625" style="101" customWidth="1"/>
    <col min="1542" max="1542" width="4.6640625" style="101" customWidth="1"/>
    <col min="1543" max="1543" width="6.33203125" style="101" customWidth="1"/>
    <col min="1544" max="1544" width="3.33203125" style="101" customWidth="1"/>
    <col min="1545" max="1545" width="6.109375" style="101" customWidth="1"/>
    <col min="1546" max="1546" width="3.109375" style="101" customWidth="1"/>
    <col min="1547" max="1547" width="5.6640625" style="101" customWidth="1"/>
    <col min="1548" max="1548" width="2.88671875" style="101" customWidth="1"/>
    <col min="1549" max="1549" width="5.88671875" style="101" customWidth="1"/>
    <col min="1550" max="1550" width="2.5546875" style="101" customWidth="1"/>
    <col min="1551" max="1551" width="5.6640625" style="101" customWidth="1"/>
    <col min="1552" max="1552" width="2.33203125" style="101" customWidth="1"/>
    <col min="1553" max="1553" width="4.88671875" style="101" customWidth="1"/>
    <col min="1554" max="1554" width="2.109375" style="101" customWidth="1"/>
    <col min="1555" max="1555" width="5.44140625" style="101" customWidth="1"/>
    <col min="1556" max="1556" width="5.88671875" style="101" customWidth="1"/>
    <col min="1557" max="1557" width="5.44140625" style="101" customWidth="1"/>
    <col min="1558" max="1558" width="5.33203125" style="101" customWidth="1"/>
    <col min="1559" max="1559" width="9" style="101" customWidth="1"/>
    <col min="1560" max="1793" width="9.109375" style="101"/>
    <col min="1794" max="1794" width="2.33203125" style="101" customWidth="1"/>
    <col min="1795" max="1795" width="14.44140625" style="101" customWidth="1"/>
    <col min="1796" max="1796" width="2.6640625" style="101" customWidth="1"/>
    <col min="1797" max="1797" width="6.44140625" style="101" customWidth="1"/>
    <col min="1798" max="1798" width="4.6640625" style="101" customWidth="1"/>
    <col min="1799" max="1799" width="6.33203125" style="101" customWidth="1"/>
    <col min="1800" max="1800" width="3.33203125" style="101" customWidth="1"/>
    <col min="1801" max="1801" width="6.109375" style="101" customWidth="1"/>
    <col min="1802" max="1802" width="3.109375" style="101" customWidth="1"/>
    <col min="1803" max="1803" width="5.6640625" style="101" customWidth="1"/>
    <col min="1804" max="1804" width="2.88671875" style="101" customWidth="1"/>
    <col min="1805" max="1805" width="5.88671875" style="101" customWidth="1"/>
    <col min="1806" max="1806" width="2.5546875" style="101" customWidth="1"/>
    <col min="1807" max="1807" width="5.6640625" style="101" customWidth="1"/>
    <col min="1808" max="1808" width="2.33203125" style="101" customWidth="1"/>
    <col min="1809" max="1809" width="4.88671875" style="101" customWidth="1"/>
    <col min="1810" max="1810" width="2.109375" style="101" customWidth="1"/>
    <col min="1811" max="1811" width="5.44140625" style="101" customWidth="1"/>
    <col min="1812" max="1812" width="5.88671875" style="101" customWidth="1"/>
    <col min="1813" max="1813" width="5.44140625" style="101" customWidth="1"/>
    <col min="1814" max="1814" width="5.33203125" style="101" customWidth="1"/>
    <col min="1815" max="1815" width="9" style="101" customWidth="1"/>
    <col min="1816" max="2049" width="9.109375" style="101"/>
    <col min="2050" max="2050" width="2.33203125" style="101" customWidth="1"/>
    <col min="2051" max="2051" width="14.44140625" style="101" customWidth="1"/>
    <col min="2052" max="2052" width="2.6640625" style="101" customWidth="1"/>
    <col min="2053" max="2053" width="6.44140625" style="101" customWidth="1"/>
    <col min="2054" max="2054" width="4.6640625" style="101" customWidth="1"/>
    <col min="2055" max="2055" width="6.33203125" style="101" customWidth="1"/>
    <col min="2056" max="2056" width="3.33203125" style="101" customWidth="1"/>
    <col min="2057" max="2057" width="6.109375" style="101" customWidth="1"/>
    <col min="2058" max="2058" width="3.109375" style="101" customWidth="1"/>
    <col min="2059" max="2059" width="5.6640625" style="101" customWidth="1"/>
    <col min="2060" max="2060" width="2.88671875" style="101" customWidth="1"/>
    <col min="2061" max="2061" width="5.88671875" style="101" customWidth="1"/>
    <col min="2062" max="2062" width="2.5546875" style="101" customWidth="1"/>
    <col min="2063" max="2063" width="5.6640625" style="101" customWidth="1"/>
    <col min="2064" max="2064" width="2.33203125" style="101" customWidth="1"/>
    <col min="2065" max="2065" width="4.88671875" style="101" customWidth="1"/>
    <col min="2066" max="2066" width="2.109375" style="101" customWidth="1"/>
    <col min="2067" max="2067" width="5.44140625" style="101" customWidth="1"/>
    <col min="2068" max="2068" width="5.88671875" style="101" customWidth="1"/>
    <col min="2069" max="2069" width="5.44140625" style="101" customWidth="1"/>
    <col min="2070" max="2070" width="5.33203125" style="101" customWidth="1"/>
    <col min="2071" max="2071" width="9" style="101" customWidth="1"/>
    <col min="2072" max="2305" width="9.109375" style="101"/>
    <col min="2306" max="2306" width="2.33203125" style="101" customWidth="1"/>
    <col min="2307" max="2307" width="14.44140625" style="101" customWidth="1"/>
    <col min="2308" max="2308" width="2.6640625" style="101" customWidth="1"/>
    <col min="2309" max="2309" width="6.44140625" style="101" customWidth="1"/>
    <col min="2310" max="2310" width="4.6640625" style="101" customWidth="1"/>
    <col min="2311" max="2311" width="6.33203125" style="101" customWidth="1"/>
    <col min="2312" max="2312" width="3.33203125" style="101" customWidth="1"/>
    <col min="2313" max="2313" width="6.109375" style="101" customWidth="1"/>
    <col min="2314" max="2314" width="3.109375" style="101" customWidth="1"/>
    <col min="2315" max="2315" width="5.6640625" style="101" customWidth="1"/>
    <col min="2316" max="2316" width="2.88671875" style="101" customWidth="1"/>
    <col min="2317" max="2317" width="5.88671875" style="101" customWidth="1"/>
    <col min="2318" max="2318" width="2.5546875" style="101" customWidth="1"/>
    <col min="2319" max="2319" width="5.6640625" style="101" customWidth="1"/>
    <col min="2320" max="2320" width="2.33203125" style="101" customWidth="1"/>
    <col min="2321" max="2321" width="4.88671875" style="101" customWidth="1"/>
    <col min="2322" max="2322" width="2.109375" style="101" customWidth="1"/>
    <col min="2323" max="2323" width="5.44140625" style="101" customWidth="1"/>
    <col min="2324" max="2324" width="5.88671875" style="101" customWidth="1"/>
    <col min="2325" max="2325" width="5.44140625" style="101" customWidth="1"/>
    <col min="2326" max="2326" width="5.33203125" style="101" customWidth="1"/>
    <col min="2327" max="2327" width="9" style="101" customWidth="1"/>
    <col min="2328" max="2561" width="9.109375" style="101"/>
    <col min="2562" max="2562" width="2.33203125" style="101" customWidth="1"/>
    <col min="2563" max="2563" width="14.44140625" style="101" customWidth="1"/>
    <col min="2564" max="2564" width="2.6640625" style="101" customWidth="1"/>
    <col min="2565" max="2565" width="6.44140625" style="101" customWidth="1"/>
    <col min="2566" max="2566" width="4.6640625" style="101" customWidth="1"/>
    <col min="2567" max="2567" width="6.33203125" style="101" customWidth="1"/>
    <col min="2568" max="2568" width="3.33203125" style="101" customWidth="1"/>
    <col min="2569" max="2569" width="6.109375" style="101" customWidth="1"/>
    <col min="2570" max="2570" width="3.109375" style="101" customWidth="1"/>
    <col min="2571" max="2571" width="5.6640625" style="101" customWidth="1"/>
    <col min="2572" max="2572" width="2.88671875" style="101" customWidth="1"/>
    <col min="2573" max="2573" width="5.88671875" style="101" customWidth="1"/>
    <col min="2574" max="2574" width="2.5546875" style="101" customWidth="1"/>
    <col min="2575" max="2575" width="5.6640625" style="101" customWidth="1"/>
    <col min="2576" max="2576" width="2.33203125" style="101" customWidth="1"/>
    <col min="2577" max="2577" width="4.88671875" style="101" customWidth="1"/>
    <col min="2578" max="2578" width="2.109375" style="101" customWidth="1"/>
    <col min="2579" max="2579" width="5.44140625" style="101" customWidth="1"/>
    <col min="2580" max="2580" width="5.88671875" style="101" customWidth="1"/>
    <col min="2581" max="2581" width="5.44140625" style="101" customWidth="1"/>
    <col min="2582" max="2582" width="5.33203125" style="101" customWidth="1"/>
    <col min="2583" max="2583" width="9" style="101" customWidth="1"/>
    <col min="2584" max="2817" width="9.109375" style="101"/>
    <col min="2818" max="2818" width="2.33203125" style="101" customWidth="1"/>
    <col min="2819" max="2819" width="14.44140625" style="101" customWidth="1"/>
    <col min="2820" max="2820" width="2.6640625" style="101" customWidth="1"/>
    <col min="2821" max="2821" width="6.44140625" style="101" customWidth="1"/>
    <col min="2822" max="2822" width="4.6640625" style="101" customWidth="1"/>
    <col min="2823" max="2823" width="6.33203125" style="101" customWidth="1"/>
    <col min="2824" max="2824" width="3.33203125" style="101" customWidth="1"/>
    <col min="2825" max="2825" width="6.109375" style="101" customWidth="1"/>
    <col min="2826" max="2826" width="3.109375" style="101" customWidth="1"/>
    <col min="2827" max="2827" width="5.6640625" style="101" customWidth="1"/>
    <col min="2828" max="2828" width="2.88671875" style="101" customWidth="1"/>
    <col min="2829" max="2829" width="5.88671875" style="101" customWidth="1"/>
    <col min="2830" max="2830" width="2.5546875" style="101" customWidth="1"/>
    <col min="2831" max="2831" width="5.6640625" style="101" customWidth="1"/>
    <col min="2832" max="2832" width="2.33203125" style="101" customWidth="1"/>
    <col min="2833" max="2833" width="4.88671875" style="101" customWidth="1"/>
    <col min="2834" max="2834" width="2.109375" style="101" customWidth="1"/>
    <col min="2835" max="2835" width="5.44140625" style="101" customWidth="1"/>
    <col min="2836" max="2836" width="5.88671875" style="101" customWidth="1"/>
    <col min="2837" max="2837" width="5.44140625" style="101" customWidth="1"/>
    <col min="2838" max="2838" width="5.33203125" style="101" customWidth="1"/>
    <col min="2839" max="2839" width="9" style="101" customWidth="1"/>
    <col min="2840" max="3073" width="9.109375" style="101"/>
    <col min="3074" max="3074" width="2.33203125" style="101" customWidth="1"/>
    <col min="3075" max="3075" width="14.44140625" style="101" customWidth="1"/>
    <col min="3076" max="3076" width="2.6640625" style="101" customWidth="1"/>
    <col min="3077" max="3077" width="6.44140625" style="101" customWidth="1"/>
    <col min="3078" max="3078" width="4.6640625" style="101" customWidth="1"/>
    <col min="3079" max="3079" width="6.33203125" style="101" customWidth="1"/>
    <col min="3080" max="3080" width="3.33203125" style="101" customWidth="1"/>
    <col min="3081" max="3081" width="6.109375" style="101" customWidth="1"/>
    <col min="3082" max="3082" width="3.109375" style="101" customWidth="1"/>
    <col min="3083" max="3083" width="5.6640625" style="101" customWidth="1"/>
    <col min="3084" max="3084" width="2.88671875" style="101" customWidth="1"/>
    <col min="3085" max="3085" width="5.88671875" style="101" customWidth="1"/>
    <col min="3086" max="3086" width="2.5546875" style="101" customWidth="1"/>
    <col min="3087" max="3087" width="5.6640625" style="101" customWidth="1"/>
    <col min="3088" max="3088" width="2.33203125" style="101" customWidth="1"/>
    <col min="3089" max="3089" width="4.88671875" style="101" customWidth="1"/>
    <col min="3090" max="3090" width="2.109375" style="101" customWidth="1"/>
    <col min="3091" max="3091" width="5.44140625" style="101" customWidth="1"/>
    <col min="3092" max="3092" width="5.88671875" style="101" customWidth="1"/>
    <col min="3093" max="3093" width="5.44140625" style="101" customWidth="1"/>
    <col min="3094" max="3094" width="5.33203125" style="101" customWidth="1"/>
    <col min="3095" max="3095" width="9" style="101" customWidth="1"/>
    <col min="3096" max="3329" width="9.109375" style="101"/>
    <col min="3330" max="3330" width="2.33203125" style="101" customWidth="1"/>
    <col min="3331" max="3331" width="14.44140625" style="101" customWidth="1"/>
    <col min="3332" max="3332" width="2.6640625" style="101" customWidth="1"/>
    <col min="3333" max="3333" width="6.44140625" style="101" customWidth="1"/>
    <col min="3334" max="3334" width="4.6640625" style="101" customWidth="1"/>
    <col min="3335" max="3335" width="6.33203125" style="101" customWidth="1"/>
    <col min="3336" max="3336" width="3.33203125" style="101" customWidth="1"/>
    <col min="3337" max="3337" width="6.109375" style="101" customWidth="1"/>
    <col min="3338" max="3338" width="3.109375" style="101" customWidth="1"/>
    <col min="3339" max="3339" width="5.6640625" style="101" customWidth="1"/>
    <col min="3340" max="3340" width="2.88671875" style="101" customWidth="1"/>
    <col min="3341" max="3341" width="5.88671875" style="101" customWidth="1"/>
    <col min="3342" max="3342" width="2.5546875" style="101" customWidth="1"/>
    <col min="3343" max="3343" width="5.6640625" style="101" customWidth="1"/>
    <col min="3344" max="3344" width="2.33203125" style="101" customWidth="1"/>
    <col min="3345" max="3345" width="4.88671875" style="101" customWidth="1"/>
    <col min="3346" max="3346" width="2.109375" style="101" customWidth="1"/>
    <col min="3347" max="3347" width="5.44140625" style="101" customWidth="1"/>
    <col min="3348" max="3348" width="5.88671875" style="101" customWidth="1"/>
    <col min="3349" max="3349" width="5.44140625" style="101" customWidth="1"/>
    <col min="3350" max="3350" width="5.33203125" style="101" customWidth="1"/>
    <col min="3351" max="3351" width="9" style="101" customWidth="1"/>
    <col min="3352" max="3585" width="9.109375" style="101"/>
    <col min="3586" max="3586" width="2.33203125" style="101" customWidth="1"/>
    <col min="3587" max="3587" width="14.44140625" style="101" customWidth="1"/>
    <col min="3588" max="3588" width="2.6640625" style="101" customWidth="1"/>
    <col min="3589" max="3589" width="6.44140625" style="101" customWidth="1"/>
    <col min="3590" max="3590" width="4.6640625" style="101" customWidth="1"/>
    <col min="3591" max="3591" width="6.33203125" style="101" customWidth="1"/>
    <col min="3592" max="3592" width="3.33203125" style="101" customWidth="1"/>
    <col min="3593" max="3593" width="6.109375" style="101" customWidth="1"/>
    <col min="3594" max="3594" width="3.109375" style="101" customWidth="1"/>
    <col min="3595" max="3595" width="5.6640625" style="101" customWidth="1"/>
    <col min="3596" max="3596" width="2.88671875" style="101" customWidth="1"/>
    <col min="3597" max="3597" width="5.88671875" style="101" customWidth="1"/>
    <col min="3598" max="3598" width="2.5546875" style="101" customWidth="1"/>
    <col min="3599" max="3599" width="5.6640625" style="101" customWidth="1"/>
    <col min="3600" max="3600" width="2.33203125" style="101" customWidth="1"/>
    <col min="3601" max="3601" width="4.88671875" style="101" customWidth="1"/>
    <col min="3602" max="3602" width="2.109375" style="101" customWidth="1"/>
    <col min="3603" max="3603" width="5.44140625" style="101" customWidth="1"/>
    <col min="3604" max="3604" width="5.88671875" style="101" customWidth="1"/>
    <col min="3605" max="3605" width="5.44140625" style="101" customWidth="1"/>
    <col min="3606" max="3606" width="5.33203125" style="101" customWidth="1"/>
    <col min="3607" max="3607" width="9" style="101" customWidth="1"/>
    <col min="3608" max="3841" width="9.109375" style="101"/>
    <col min="3842" max="3842" width="2.33203125" style="101" customWidth="1"/>
    <col min="3843" max="3843" width="14.44140625" style="101" customWidth="1"/>
    <col min="3844" max="3844" width="2.6640625" style="101" customWidth="1"/>
    <col min="3845" max="3845" width="6.44140625" style="101" customWidth="1"/>
    <col min="3846" max="3846" width="4.6640625" style="101" customWidth="1"/>
    <col min="3847" max="3847" width="6.33203125" style="101" customWidth="1"/>
    <col min="3848" max="3848" width="3.33203125" style="101" customWidth="1"/>
    <col min="3849" max="3849" width="6.109375" style="101" customWidth="1"/>
    <col min="3850" max="3850" width="3.109375" style="101" customWidth="1"/>
    <col min="3851" max="3851" width="5.6640625" style="101" customWidth="1"/>
    <col min="3852" max="3852" width="2.88671875" style="101" customWidth="1"/>
    <col min="3853" max="3853" width="5.88671875" style="101" customWidth="1"/>
    <col min="3854" max="3854" width="2.5546875" style="101" customWidth="1"/>
    <col min="3855" max="3855" width="5.6640625" style="101" customWidth="1"/>
    <col min="3856" max="3856" width="2.33203125" style="101" customWidth="1"/>
    <col min="3857" max="3857" width="4.88671875" style="101" customWidth="1"/>
    <col min="3858" max="3858" width="2.109375" style="101" customWidth="1"/>
    <col min="3859" max="3859" width="5.44140625" style="101" customWidth="1"/>
    <col min="3860" max="3860" width="5.88671875" style="101" customWidth="1"/>
    <col min="3861" max="3861" width="5.44140625" style="101" customWidth="1"/>
    <col min="3862" max="3862" width="5.33203125" style="101" customWidth="1"/>
    <col min="3863" max="3863" width="9" style="101" customWidth="1"/>
    <col min="3864" max="4097" width="9.109375" style="101"/>
    <col min="4098" max="4098" width="2.33203125" style="101" customWidth="1"/>
    <col min="4099" max="4099" width="14.44140625" style="101" customWidth="1"/>
    <col min="4100" max="4100" width="2.6640625" style="101" customWidth="1"/>
    <col min="4101" max="4101" width="6.44140625" style="101" customWidth="1"/>
    <col min="4102" max="4102" width="4.6640625" style="101" customWidth="1"/>
    <col min="4103" max="4103" width="6.33203125" style="101" customWidth="1"/>
    <col min="4104" max="4104" width="3.33203125" style="101" customWidth="1"/>
    <col min="4105" max="4105" width="6.109375" style="101" customWidth="1"/>
    <col min="4106" max="4106" width="3.109375" style="101" customWidth="1"/>
    <col min="4107" max="4107" width="5.6640625" style="101" customWidth="1"/>
    <col min="4108" max="4108" width="2.88671875" style="101" customWidth="1"/>
    <col min="4109" max="4109" width="5.88671875" style="101" customWidth="1"/>
    <col min="4110" max="4110" width="2.5546875" style="101" customWidth="1"/>
    <col min="4111" max="4111" width="5.6640625" style="101" customWidth="1"/>
    <col min="4112" max="4112" width="2.33203125" style="101" customWidth="1"/>
    <col min="4113" max="4113" width="4.88671875" style="101" customWidth="1"/>
    <col min="4114" max="4114" width="2.109375" style="101" customWidth="1"/>
    <col min="4115" max="4115" width="5.44140625" style="101" customWidth="1"/>
    <col min="4116" max="4116" width="5.88671875" style="101" customWidth="1"/>
    <col min="4117" max="4117" width="5.44140625" style="101" customWidth="1"/>
    <col min="4118" max="4118" width="5.33203125" style="101" customWidth="1"/>
    <col min="4119" max="4119" width="9" style="101" customWidth="1"/>
    <col min="4120" max="4353" width="9.109375" style="101"/>
    <col min="4354" max="4354" width="2.33203125" style="101" customWidth="1"/>
    <col min="4355" max="4355" width="14.44140625" style="101" customWidth="1"/>
    <col min="4356" max="4356" width="2.6640625" style="101" customWidth="1"/>
    <col min="4357" max="4357" width="6.44140625" style="101" customWidth="1"/>
    <col min="4358" max="4358" width="4.6640625" style="101" customWidth="1"/>
    <col min="4359" max="4359" width="6.33203125" style="101" customWidth="1"/>
    <col min="4360" max="4360" width="3.33203125" style="101" customWidth="1"/>
    <col min="4361" max="4361" width="6.109375" style="101" customWidth="1"/>
    <col min="4362" max="4362" width="3.109375" style="101" customWidth="1"/>
    <col min="4363" max="4363" width="5.6640625" style="101" customWidth="1"/>
    <col min="4364" max="4364" width="2.88671875" style="101" customWidth="1"/>
    <col min="4365" max="4365" width="5.88671875" style="101" customWidth="1"/>
    <col min="4366" max="4366" width="2.5546875" style="101" customWidth="1"/>
    <col min="4367" max="4367" width="5.6640625" style="101" customWidth="1"/>
    <col min="4368" max="4368" width="2.33203125" style="101" customWidth="1"/>
    <col min="4369" max="4369" width="4.88671875" style="101" customWidth="1"/>
    <col min="4370" max="4370" width="2.109375" style="101" customWidth="1"/>
    <col min="4371" max="4371" width="5.44140625" style="101" customWidth="1"/>
    <col min="4372" max="4372" width="5.88671875" style="101" customWidth="1"/>
    <col min="4373" max="4373" width="5.44140625" style="101" customWidth="1"/>
    <col min="4374" max="4374" width="5.33203125" style="101" customWidth="1"/>
    <col min="4375" max="4375" width="9" style="101" customWidth="1"/>
    <col min="4376" max="4609" width="9.109375" style="101"/>
    <col min="4610" max="4610" width="2.33203125" style="101" customWidth="1"/>
    <col min="4611" max="4611" width="14.44140625" style="101" customWidth="1"/>
    <col min="4612" max="4612" width="2.6640625" style="101" customWidth="1"/>
    <col min="4613" max="4613" width="6.44140625" style="101" customWidth="1"/>
    <col min="4614" max="4614" width="4.6640625" style="101" customWidth="1"/>
    <col min="4615" max="4615" width="6.33203125" style="101" customWidth="1"/>
    <col min="4616" max="4616" width="3.33203125" style="101" customWidth="1"/>
    <col min="4617" max="4617" width="6.109375" style="101" customWidth="1"/>
    <col min="4618" max="4618" width="3.109375" style="101" customWidth="1"/>
    <col min="4619" max="4619" width="5.6640625" style="101" customWidth="1"/>
    <col min="4620" max="4620" width="2.88671875" style="101" customWidth="1"/>
    <col min="4621" max="4621" width="5.88671875" style="101" customWidth="1"/>
    <col min="4622" max="4622" width="2.5546875" style="101" customWidth="1"/>
    <col min="4623" max="4623" width="5.6640625" style="101" customWidth="1"/>
    <col min="4624" max="4624" width="2.33203125" style="101" customWidth="1"/>
    <col min="4625" max="4625" width="4.88671875" style="101" customWidth="1"/>
    <col min="4626" max="4626" width="2.109375" style="101" customWidth="1"/>
    <col min="4627" max="4627" width="5.44140625" style="101" customWidth="1"/>
    <col min="4628" max="4628" width="5.88671875" style="101" customWidth="1"/>
    <col min="4629" max="4629" width="5.44140625" style="101" customWidth="1"/>
    <col min="4630" max="4630" width="5.33203125" style="101" customWidth="1"/>
    <col min="4631" max="4631" width="9" style="101" customWidth="1"/>
    <col min="4632" max="4865" width="9.109375" style="101"/>
    <col min="4866" max="4866" width="2.33203125" style="101" customWidth="1"/>
    <col min="4867" max="4867" width="14.44140625" style="101" customWidth="1"/>
    <col min="4868" max="4868" width="2.6640625" style="101" customWidth="1"/>
    <col min="4869" max="4869" width="6.44140625" style="101" customWidth="1"/>
    <col min="4870" max="4870" width="4.6640625" style="101" customWidth="1"/>
    <col min="4871" max="4871" width="6.33203125" style="101" customWidth="1"/>
    <col min="4872" max="4872" width="3.33203125" style="101" customWidth="1"/>
    <col min="4873" max="4873" width="6.109375" style="101" customWidth="1"/>
    <col min="4874" max="4874" width="3.109375" style="101" customWidth="1"/>
    <col min="4875" max="4875" width="5.6640625" style="101" customWidth="1"/>
    <col min="4876" max="4876" width="2.88671875" style="101" customWidth="1"/>
    <col min="4877" max="4877" width="5.88671875" style="101" customWidth="1"/>
    <col min="4878" max="4878" width="2.5546875" style="101" customWidth="1"/>
    <col min="4879" max="4879" width="5.6640625" style="101" customWidth="1"/>
    <col min="4880" max="4880" width="2.33203125" style="101" customWidth="1"/>
    <col min="4881" max="4881" width="4.88671875" style="101" customWidth="1"/>
    <col min="4882" max="4882" width="2.109375" style="101" customWidth="1"/>
    <col min="4883" max="4883" width="5.44140625" style="101" customWidth="1"/>
    <col min="4884" max="4884" width="5.88671875" style="101" customWidth="1"/>
    <col min="4885" max="4885" width="5.44140625" style="101" customWidth="1"/>
    <col min="4886" max="4886" width="5.33203125" style="101" customWidth="1"/>
    <col min="4887" max="4887" width="9" style="101" customWidth="1"/>
    <col min="4888" max="5121" width="9.109375" style="101"/>
    <col min="5122" max="5122" width="2.33203125" style="101" customWidth="1"/>
    <col min="5123" max="5123" width="14.44140625" style="101" customWidth="1"/>
    <col min="5124" max="5124" width="2.6640625" style="101" customWidth="1"/>
    <col min="5125" max="5125" width="6.44140625" style="101" customWidth="1"/>
    <col min="5126" max="5126" width="4.6640625" style="101" customWidth="1"/>
    <col min="5127" max="5127" width="6.33203125" style="101" customWidth="1"/>
    <col min="5128" max="5128" width="3.33203125" style="101" customWidth="1"/>
    <col min="5129" max="5129" width="6.109375" style="101" customWidth="1"/>
    <col min="5130" max="5130" width="3.109375" style="101" customWidth="1"/>
    <col min="5131" max="5131" width="5.6640625" style="101" customWidth="1"/>
    <col min="5132" max="5132" width="2.88671875" style="101" customWidth="1"/>
    <col min="5133" max="5133" width="5.88671875" style="101" customWidth="1"/>
    <col min="5134" max="5134" width="2.5546875" style="101" customWidth="1"/>
    <col min="5135" max="5135" width="5.6640625" style="101" customWidth="1"/>
    <col min="5136" max="5136" width="2.33203125" style="101" customWidth="1"/>
    <col min="5137" max="5137" width="4.88671875" style="101" customWidth="1"/>
    <col min="5138" max="5138" width="2.109375" style="101" customWidth="1"/>
    <col min="5139" max="5139" width="5.44140625" style="101" customWidth="1"/>
    <col min="5140" max="5140" width="5.88671875" style="101" customWidth="1"/>
    <col min="5141" max="5141" width="5.44140625" style="101" customWidth="1"/>
    <col min="5142" max="5142" width="5.33203125" style="101" customWidth="1"/>
    <col min="5143" max="5143" width="9" style="101" customWidth="1"/>
    <col min="5144" max="5377" width="9.109375" style="101"/>
    <col min="5378" max="5378" width="2.33203125" style="101" customWidth="1"/>
    <col min="5379" max="5379" width="14.44140625" style="101" customWidth="1"/>
    <col min="5380" max="5380" width="2.6640625" style="101" customWidth="1"/>
    <col min="5381" max="5381" width="6.44140625" style="101" customWidth="1"/>
    <col min="5382" max="5382" width="4.6640625" style="101" customWidth="1"/>
    <col min="5383" max="5383" width="6.33203125" style="101" customWidth="1"/>
    <col min="5384" max="5384" width="3.33203125" style="101" customWidth="1"/>
    <col min="5385" max="5385" width="6.109375" style="101" customWidth="1"/>
    <col min="5386" max="5386" width="3.109375" style="101" customWidth="1"/>
    <col min="5387" max="5387" width="5.6640625" style="101" customWidth="1"/>
    <col min="5388" max="5388" width="2.88671875" style="101" customWidth="1"/>
    <col min="5389" max="5389" width="5.88671875" style="101" customWidth="1"/>
    <col min="5390" max="5390" width="2.5546875" style="101" customWidth="1"/>
    <col min="5391" max="5391" width="5.6640625" style="101" customWidth="1"/>
    <col min="5392" max="5392" width="2.33203125" style="101" customWidth="1"/>
    <col min="5393" max="5393" width="4.88671875" style="101" customWidth="1"/>
    <col min="5394" max="5394" width="2.109375" style="101" customWidth="1"/>
    <col min="5395" max="5395" width="5.44140625" style="101" customWidth="1"/>
    <col min="5396" max="5396" width="5.88671875" style="101" customWidth="1"/>
    <col min="5397" max="5397" width="5.44140625" style="101" customWidth="1"/>
    <col min="5398" max="5398" width="5.33203125" style="101" customWidth="1"/>
    <col min="5399" max="5399" width="9" style="101" customWidth="1"/>
    <col min="5400" max="5633" width="9.109375" style="101"/>
    <col min="5634" max="5634" width="2.33203125" style="101" customWidth="1"/>
    <col min="5635" max="5635" width="14.44140625" style="101" customWidth="1"/>
    <col min="5636" max="5636" width="2.6640625" style="101" customWidth="1"/>
    <col min="5637" max="5637" width="6.44140625" style="101" customWidth="1"/>
    <col min="5638" max="5638" width="4.6640625" style="101" customWidth="1"/>
    <col min="5639" max="5639" width="6.33203125" style="101" customWidth="1"/>
    <col min="5640" max="5640" width="3.33203125" style="101" customWidth="1"/>
    <col min="5641" max="5641" width="6.109375" style="101" customWidth="1"/>
    <col min="5642" max="5642" width="3.109375" style="101" customWidth="1"/>
    <col min="5643" max="5643" width="5.6640625" style="101" customWidth="1"/>
    <col min="5644" max="5644" width="2.88671875" style="101" customWidth="1"/>
    <col min="5645" max="5645" width="5.88671875" style="101" customWidth="1"/>
    <col min="5646" max="5646" width="2.5546875" style="101" customWidth="1"/>
    <col min="5647" max="5647" width="5.6640625" style="101" customWidth="1"/>
    <col min="5648" max="5648" width="2.33203125" style="101" customWidth="1"/>
    <col min="5649" max="5649" width="4.88671875" style="101" customWidth="1"/>
    <col min="5650" max="5650" width="2.109375" style="101" customWidth="1"/>
    <col min="5651" max="5651" width="5.44140625" style="101" customWidth="1"/>
    <col min="5652" max="5652" width="5.88671875" style="101" customWidth="1"/>
    <col min="5653" max="5653" width="5.44140625" style="101" customWidth="1"/>
    <col min="5654" max="5654" width="5.33203125" style="101" customWidth="1"/>
    <col min="5655" max="5655" width="9" style="101" customWidth="1"/>
    <col min="5656" max="5889" width="9.109375" style="101"/>
    <col min="5890" max="5890" width="2.33203125" style="101" customWidth="1"/>
    <col min="5891" max="5891" width="14.44140625" style="101" customWidth="1"/>
    <col min="5892" max="5892" width="2.6640625" style="101" customWidth="1"/>
    <col min="5893" max="5893" width="6.44140625" style="101" customWidth="1"/>
    <col min="5894" max="5894" width="4.6640625" style="101" customWidth="1"/>
    <col min="5895" max="5895" width="6.33203125" style="101" customWidth="1"/>
    <col min="5896" max="5896" width="3.33203125" style="101" customWidth="1"/>
    <col min="5897" max="5897" width="6.109375" style="101" customWidth="1"/>
    <col min="5898" max="5898" width="3.109375" style="101" customWidth="1"/>
    <col min="5899" max="5899" width="5.6640625" style="101" customWidth="1"/>
    <col min="5900" max="5900" width="2.88671875" style="101" customWidth="1"/>
    <col min="5901" max="5901" width="5.88671875" style="101" customWidth="1"/>
    <col min="5902" max="5902" width="2.5546875" style="101" customWidth="1"/>
    <col min="5903" max="5903" width="5.6640625" style="101" customWidth="1"/>
    <col min="5904" max="5904" width="2.33203125" style="101" customWidth="1"/>
    <col min="5905" max="5905" width="4.88671875" style="101" customWidth="1"/>
    <col min="5906" max="5906" width="2.109375" style="101" customWidth="1"/>
    <col min="5907" max="5907" width="5.44140625" style="101" customWidth="1"/>
    <col min="5908" max="5908" width="5.88671875" style="101" customWidth="1"/>
    <col min="5909" max="5909" width="5.44140625" style="101" customWidth="1"/>
    <col min="5910" max="5910" width="5.33203125" style="101" customWidth="1"/>
    <col min="5911" max="5911" width="9" style="101" customWidth="1"/>
    <col min="5912" max="6145" width="9.109375" style="101"/>
    <col min="6146" max="6146" width="2.33203125" style="101" customWidth="1"/>
    <col min="6147" max="6147" width="14.44140625" style="101" customWidth="1"/>
    <col min="6148" max="6148" width="2.6640625" style="101" customWidth="1"/>
    <col min="6149" max="6149" width="6.44140625" style="101" customWidth="1"/>
    <col min="6150" max="6150" width="4.6640625" style="101" customWidth="1"/>
    <col min="6151" max="6151" width="6.33203125" style="101" customWidth="1"/>
    <col min="6152" max="6152" width="3.33203125" style="101" customWidth="1"/>
    <col min="6153" max="6153" width="6.109375" style="101" customWidth="1"/>
    <col min="6154" max="6154" width="3.109375" style="101" customWidth="1"/>
    <col min="6155" max="6155" width="5.6640625" style="101" customWidth="1"/>
    <col min="6156" max="6156" width="2.88671875" style="101" customWidth="1"/>
    <col min="6157" max="6157" width="5.88671875" style="101" customWidth="1"/>
    <col min="6158" max="6158" width="2.5546875" style="101" customWidth="1"/>
    <col min="6159" max="6159" width="5.6640625" style="101" customWidth="1"/>
    <col min="6160" max="6160" width="2.33203125" style="101" customWidth="1"/>
    <col min="6161" max="6161" width="4.88671875" style="101" customWidth="1"/>
    <col min="6162" max="6162" width="2.109375" style="101" customWidth="1"/>
    <col min="6163" max="6163" width="5.44140625" style="101" customWidth="1"/>
    <col min="6164" max="6164" width="5.88671875" style="101" customWidth="1"/>
    <col min="6165" max="6165" width="5.44140625" style="101" customWidth="1"/>
    <col min="6166" max="6166" width="5.33203125" style="101" customWidth="1"/>
    <col min="6167" max="6167" width="9" style="101" customWidth="1"/>
    <col min="6168" max="6401" width="9.109375" style="101"/>
    <col min="6402" max="6402" width="2.33203125" style="101" customWidth="1"/>
    <col min="6403" max="6403" width="14.44140625" style="101" customWidth="1"/>
    <col min="6404" max="6404" width="2.6640625" style="101" customWidth="1"/>
    <col min="6405" max="6405" width="6.44140625" style="101" customWidth="1"/>
    <col min="6406" max="6406" width="4.6640625" style="101" customWidth="1"/>
    <col min="6407" max="6407" width="6.33203125" style="101" customWidth="1"/>
    <col min="6408" max="6408" width="3.33203125" style="101" customWidth="1"/>
    <col min="6409" max="6409" width="6.109375" style="101" customWidth="1"/>
    <col min="6410" max="6410" width="3.109375" style="101" customWidth="1"/>
    <col min="6411" max="6411" width="5.6640625" style="101" customWidth="1"/>
    <col min="6412" max="6412" width="2.88671875" style="101" customWidth="1"/>
    <col min="6413" max="6413" width="5.88671875" style="101" customWidth="1"/>
    <col min="6414" max="6414" width="2.5546875" style="101" customWidth="1"/>
    <col min="6415" max="6415" width="5.6640625" style="101" customWidth="1"/>
    <col min="6416" max="6416" width="2.33203125" style="101" customWidth="1"/>
    <col min="6417" max="6417" width="4.88671875" style="101" customWidth="1"/>
    <col min="6418" max="6418" width="2.109375" style="101" customWidth="1"/>
    <col min="6419" max="6419" width="5.44140625" style="101" customWidth="1"/>
    <col min="6420" max="6420" width="5.88671875" style="101" customWidth="1"/>
    <col min="6421" max="6421" width="5.44140625" style="101" customWidth="1"/>
    <col min="6422" max="6422" width="5.33203125" style="101" customWidth="1"/>
    <col min="6423" max="6423" width="9" style="101" customWidth="1"/>
    <col min="6424" max="6657" width="9.109375" style="101"/>
    <col min="6658" max="6658" width="2.33203125" style="101" customWidth="1"/>
    <col min="6659" max="6659" width="14.44140625" style="101" customWidth="1"/>
    <col min="6660" max="6660" width="2.6640625" style="101" customWidth="1"/>
    <col min="6661" max="6661" width="6.44140625" style="101" customWidth="1"/>
    <col min="6662" max="6662" width="4.6640625" style="101" customWidth="1"/>
    <col min="6663" max="6663" width="6.33203125" style="101" customWidth="1"/>
    <col min="6664" max="6664" width="3.33203125" style="101" customWidth="1"/>
    <col min="6665" max="6665" width="6.109375" style="101" customWidth="1"/>
    <col min="6666" max="6666" width="3.109375" style="101" customWidth="1"/>
    <col min="6667" max="6667" width="5.6640625" style="101" customWidth="1"/>
    <col min="6668" max="6668" width="2.88671875" style="101" customWidth="1"/>
    <col min="6669" max="6669" width="5.88671875" style="101" customWidth="1"/>
    <col min="6670" max="6670" width="2.5546875" style="101" customWidth="1"/>
    <col min="6671" max="6671" width="5.6640625" style="101" customWidth="1"/>
    <col min="6672" max="6672" width="2.33203125" style="101" customWidth="1"/>
    <col min="6673" max="6673" width="4.88671875" style="101" customWidth="1"/>
    <col min="6674" max="6674" width="2.109375" style="101" customWidth="1"/>
    <col min="6675" max="6675" width="5.44140625" style="101" customWidth="1"/>
    <col min="6676" max="6676" width="5.88671875" style="101" customWidth="1"/>
    <col min="6677" max="6677" width="5.44140625" style="101" customWidth="1"/>
    <col min="6678" max="6678" width="5.33203125" style="101" customWidth="1"/>
    <col min="6679" max="6679" width="9" style="101" customWidth="1"/>
    <col min="6680" max="6913" width="9.109375" style="101"/>
    <col min="6914" max="6914" width="2.33203125" style="101" customWidth="1"/>
    <col min="6915" max="6915" width="14.44140625" style="101" customWidth="1"/>
    <col min="6916" max="6916" width="2.6640625" style="101" customWidth="1"/>
    <col min="6917" max="6917" width="6.44140625" style="101" customWidth="1"/>
    <col min="6918" max="6918" width="4.6640625" style="101" customWidth="1"/>
    <col min="6919" max="6919" width="6.33203125" style="101" customWidth="1"/>
    <col min="6920" max="6920" width="3.33203125" style="101" customWidth="1"/>
    <col min="6921" max="6921" width="6.109375" style="101" customWidth="1"/>
    <col min="6922" max="6922" width="3.109375" style="101" customWidth="1"/>
    <col min="6923" max="6923" width="5.6640625" style="101" customWidth="1"/>
    <col min="6924" max="6924" width="2.88671875" style="101" customWidth="1"/>
    <col min="6925" max="6925" width="5.88671875" style="101" customWidth="1"/>
    <col min="6926" max="6926" width="2.5546875" style="101" customWidth="1"/>
    <col min="6927" max="6927" width="5.6640625" style="101" customWidth="1"/>
    <col min="6928" max="6928" width="2.33203125" style="101" customWidth="1"/>
    <col min="6929" max="6929" width="4.88671875" style="101" customWidth="1"/>
    <col min="6930" max="6930" width="2.109375" style="101" customWidth="1"/>
    <col min="6931" max="6931" width="5.44140625" style="101" customWidth="1"/>
    <col min="6932" max="6932" width="5.88671875" style="101" customWidth="1"/>
    <col min="6933" max="6933" width="5.44140625" style="101" customWidth="1"/>
    <col min="6934" max="6934" width="5.33203125" style="101" customWidth="1"/>
    <col min="6935" max="6935" width="9" style="101" customWidth="1"/>
    <col min="6936" max="7169" width="9.109375" style="101"/>
    <col min="7170" max="7170" width="2.33203125" style="101" customWidth="1"/>
    <col min="7171" max="7171" width="14.44140625" style="101" customWidth="1"/>
    <col min="7172" max="7172" width="2.6640625" style="101" customWidth="1"/>
    <col min="7173" max="7173" width="6.44140625" style="101" customWidth="1"/>
    <col min="7174" max="7174" width="4.6640625" style="101" customWidth="1"/>
    <col min="7175" max="7175" width="6.33203125" style="101" customWidth="1"/>
    <col min="7176" max="7176" width="3.33203125" style="101" customWidth="1"/>
    <col min="7177" max="7177" width="6.109375" style="101" customWidth="1"/>
    <col min="7178" max="7178" width="3.109375" style="101" customWidth="1"/>
    <col min="7179" max="7179" width="5.6640625" style="101" customWidth="1"/>
    <col min="7180" max="7180" width="2.88671875" style="101" customWidth="1"/>
    <col min="7181" max="7181" width="5.88671875" style="101" customWidth="1"/>
    <col min="7182" max="7182" width="2.5546875" style="101" customWidth="1"/>
    <col min="7183" max="7183" width="5.6640625" style="101" customWidth="1"/>
    <col min="7184" max="7184" width="2.33203125" style="101" customWidth="1"/>
    <col min="7185" max="7185" width="4.88671875" style="101" customWidth="1"/>
    <col min="7186" max="7186" width="2.109375" style="101" customWidth="1"/>
    <col min="7187" max="7187" width="5.44140625" style="101" customWidth="1"/>
    <col min="7188" max="7188" width="5.88671875" style="101" customWidth="1"/>
    <col min="7189" max="7189" width="5.44140625" style="101" customWidth="1"/>
    <col min="7190" max="7190" width="5.33203125" style="101" customWidth="1"/>
    <col min="7191" max="7191" width="9" style="101" customWidth="1"/>
    <col min="7192" max="7425" width="9.109375" style="101"/>
    <col min="7426" max="7426" width="2.33203125" style="101" customWidth="1"/>
    <col min="7427" max="7427" width="14.44140625" style="101" customWidth="1"/>
    <col min="7428" max="7428" width="2.6640625" style="101" customWidth="1"/>
    <col min="7429" max="7429" width="6.44140625" style="101" customWidth="1"/>
    <col min="7430" max="7430" width="4.6640625" style="101" customWidth="1"/>
    <col min="7431" max="7431" width="6.33203125" style="101" customWidth="1"/>
    <col min="7432" max="7432" width="3.33203125" style="101" customWidth="1"/>
    <col min="7433" max="7433" width="6.109375" style="101" customWidth="1"/>
    <col min="7434" max="7434" width="3.109375" style="101" customWidth="1"/>
    <col min="7435" max="7435" width="5.6640625" style="101" customWidth="1"/>
    <col min="7436" max="7436" width="2.88671875" style="101" customWidth="1"/>
    <col min="7437" max="7437" width="5.88671875" style="101" customWidth="1"/>
    <col min="7438" max="7438" width="2.5546875" style="101" customWidth="1"/>
    <col min="7439" max="7439" width="5.6640625" style="101" customWidth="1"/>
    <col min="7440" max="7440" width="2.33203125" style="101" customWidth="1"/>
    <col min="7441" max="7441" width="4.88671875" style="101" customWidth="1"/>
    <col min="7442" max="7442" width="2.109375" style="101" customWidth="1"/>
    <col min="7443" max="7443" width="5.44140625" style="101" customWidth="1"/>
    <col min="7444" max="7444" width="5.88671875" style="101" customWidth="1"/>
    <col min="7445" max="7445" width="5.44140625" style="101" customWidth="1"/>
    <col min="7446" max="7446" width="5.33203125" style="101" customWidth="1"/>
    <col min="7447" max="7447" width="9" style="101" customWidth="1"/>
    <col min="7448" max="7681" width="9.109375" style="101"/>
    <col min="7682" max="7682" width="2.33203125" style="101" customWidth="1"/>
    <col min="7683" max="7683" width="14.44140625" style="101" customWidth="1"/>
    <col min="7684" max="7684" width="2.6640625" style="101" customWidth="1"/>
    <col min="7685" max="7685" width="6.44140625" style="101" customWidth="1"/>
    <col min="7686" max="7686" width="4.6640625" style="101" customWidth="1"/>
    <col min="7687" max="7687" width="6.33203125" style="101" customWidth="1"/>
    <col min="7688" max="7688" width="3.33203125" style="101" customWidth="1"/>
    <col min="7689" max="7689" width="6.109375" style="101" customWidth="1"/>
    <col min="7690" max="7690" width="3.109375" style="101" customWidth="1"/>
    <col min="7691" max="7691" width="5.6640625" style="101" customWidth="1"/>
    <col min="7692" max="7692" width="2.88671875" style="101" customWidth="1"/>
    <col min="7693" max="7693" width="5.88671875" style="101" customWidth="1"/>
    <col min="7694" max="7694" width="2.5546875" style="101" customWidth="1"/>
    <col min="7695" max="7695" width="5.6640625" style="101" customWidth="1"/>
    <col min="7696" max="7696" width="2.33203125" style="101" customWidth="1"/>
    <col min="7697" max="7697" width="4.88671875" style="101" customWidth="1"/>
    <col min="7698" max="7698" width="2.109375" style="101" customWidth="1"/>
    <col min="7699" max="7699" width="5.44140625" style="101" customWidth="1"/>
    <col min="7700" max="7700" width="5.88671875" style="101" customWidth="1"/>
    <col min="7701" max="7701" width="5.44140625" style="101" customWidth="1"/>
    <col min="7702" max="7702" width="5.33203125" style="101" customWidth="1"/>
    <col min="7703" max="7703" width="9" style="101" customWidth="1"/>
    <col min="7704" max="7937" width="9.109375" style="101"/>
    <col min="7938" max="7938" width="2.33203125" style="101" customWidth="1"/>
    <col min="7939" max="7939" width="14.44140625" style="101" customWidth="1"/>
    <col min="7940" max="7940" width="2.6640625" style="101" customWidth="1"/>
    <col min="7941" max="7941" width="6.44140625" style="101" customWidth="1"/>
    <col min="7942" max="7942" width="4.6640625" style="101" customWidth="1"/>
    <col min="7943" max="7943" width="6.33203125" style="101" customWidth="1"/>
    <col min="7944" max="7944" width="3.33203125" style="101" customWidth="1"/>
    <col min="7945" max="7945" width="6.109375" style="101" customWidth="1"/>
    <col min="7946" max="7946" width="3.109375" style="101" customWidth="1"/>
    <col min="7947" max="7947" width="5.6640625" style="101" customWidth="1"/>
    <col min="7948" max="7948" width="2.88671875" style="101" customWidth="1"/>
    <col min="7949" max="7949" width="5.88671875" style="101" customWidth="1"/>
    <col min="7950" max="7950" width="2.5546875" style="101" customWidth="1"/>
    <col min="7951" max="7951" width="5.6640625" style="101" customWidth="1"/>
    <col min="7952" max="7952" width="2.33203125" style="101" customWidth="1"/>
    <col min="7953" max="7953" width="4.88671875" style="101" customWidth="1"/>
    <col min="7954" max="7954" width="2.109375" style="101" customWidth="1"/>
    <col min="7955" max="7955" width="5.44140625" style="101" customWidth="1"/>
    <col min="7956" max="7956" width="5.88671875" style="101" customWidth="1"/>
    <col min="7957" max="7957" width="5.44140625" style="101" customWidth="1"/>
    <col min="7958" max="7958" width="5.33203125" style="101" customWidth="1"/>
    <col min="7959" max="7959" width="9" style="101" customWidth="1"/>
    <col min="7960" max="8193" width="9.109375" style="101"/>
    <col min="8194" max="8194" width="2.33203125" style="101" customWidth="1"/>
    <col min="8195" max="8195" width="14.44140625" style="101" customWidth="1"/>
    <col min="8196" max="8196" width="2.6640625" style="101" customWidth="1"/>
    <col min="8197" max="8197" width="6.44140625" style="101" customWidth="1"/>
    <col min="8198" max="8198" width="4.6640625" style="101" customWidth="1"/>
    <col min="8199" max="8199" width="6.33203125" style="101" customWidth="1"/>
    <col min="8200" max="8200" width="3.33203125" style="101" customWidth="1"/>
    <col min="8201" max="8201" width="6.109375" style="101" customWidth="1"/>
    <col min="8202" max="8202" width="3.109375" style="101" customWidth="1"/>
    <col min="8203" max="8203" width="5.6640625" style="101" customWidth="1"/>
    <col min="8204" max="8204" width="2.88671875" style="101" customWidth="1"/>
    <col min="8205" max="8205" width="5.88671875" style="101" customWidth="1"/>
    <col min="8206" max="8206" width="2.5546875" style="101" customWidth="1"/>
    <col min="8207" max="8207" width="5.6640625" style="101" customWidth="1"/>
    <col min="8208" max="8208" width="2.33203125" style="101" customWidth="1"/>
    <col min="8209" max="8209" width="4.88671875" style="101" customWidth="1"/>
    <col min="8210" max="8210" width="2.109375" style="101" customWidth="1"/>
    <col min="8211" max="8211" width="5.44140625" style="101" customWidth="1"/>
    <col min="8212" max="8212" width="5.88671875" style="101" customWidth="1"/>
    <col min="8213" max="8213" width="5.44140625" style="101" customWidth="1"/>
    <col min="8214" max="8214" width="5.33203125" style="101" customWidth="1"/>
    <col min="8215" max="8215" width="9" style="101" customWidth="1"/>
    <col min="8216" max="8449" width="9.109375" style="101"/>
    <col min="8450" max="8450" width="2.33203125" style="101" customWidth="1"/>
    <col min="8451" max="8451" width="14.44140625" style="101" customWidth="1"/>
    <col min="8452" max="8452" width="2.6640625" style="101" customWidth="1"/>
    <col min="8453" max="8453" width="6.44140625" style="101" customWidth="1"/>
    <col min="8454" max="8454" width="4.6640625" style="101" customWidth="1"/>
    <col min="8455" max="8455" width="6.33203125" style="101" customWidth="1"/>
    <col min="8456" max="8456" width="3.33203125" style="101" customWidth="1"/>
    <col min="8457" max="8457" width="6.109375" style="101" customWidth="1"/>
    <col min="8458" max="8458" width="3.109375" style="101" customWidth="1"/>
    <col min="8459" max="8459" width="5.6640625" style="101" customWidth="1"/>
    <col min="8460" max="8460" width="2.88671875" style="101" customWidth="1"/>
    <col min="8461" max="8461" width="5.88671875" style="101" customWidth="1"/>
    <col min="8462" max="8462" width="2.5546875" style="101" customWidth="1"/>
    <col min="8463" max="8463" width="5.6640625" style="101" customWidth="1"/>
    <col min="8464" max="8464" width="2.33203125" style="101" customWidth="1"/>
    <col min="8465" max="8465" width="4.88671875" style="101" customWidth="1"/>
    <col min="8466" max="8466" width="2.109375" style="101" customWidth="1"/>
    <col min="8467" max="8467" width="5.44140625" style="101" customWidth="1"/>
    <col min="8468" max="8468" width="5.88671875" style="101" customWidth="1"/>
    <col min="8469" max="8469" width="5.44140625" style="101" customWidth="1"/>
    <col min="8470" max="8470" width="5.33203125" style="101" customWidth="1"/>
    <col min="8471" max="8471" width="9" style="101" customWidth="1"/>
    <col min="8472" max="8705" width="9.109375" style="101"/>
    <col min="8706" max="8706" width="2.33203125" style="101" customWidth="1"/>
    <col min="8707" max="8707" width="14.44140625" style="101" customWidth="1"/>
    <col min="8708" max="8708" width="2.6640625" style="101" customWidth="1"/>
    <col min="8709" max="8709" width="6.44140625" style="101" customWidth="1"/>
    <col min="8710" max="8710" width="4.6640625" style="101" customWidth="1"/>
    <col min="8711" max="8711" width="6.33203125" style="101" customWidth="1"/>
    <col min="8712" max="8712" width="3.33203125" style="101" customWidth="1"/>
    <col min="8713" max="8713" width="6.109375" style="101" customWidth="1"/>
    <col min="8714" max="8714" width="3.109375" style="101" customWidth="1"/>
    <col min="8715" max="8715" width="5.6640625" style="101" customWidth="1"/>
    <col min="8716" max="8716" width="2.88671875" style="101" customWidth="1"/>
    <col min="8717" max="8717" width="5.88671875" style="101" customWidth="1"/>
    <col min="8718" max="8718" width="2.5546875" style="101" customWidth="1"/>
    <col min="8719" max="8719" width="5.6640625" style="101" customWidth="1"/>
    <col min="8720" max="8720" width="2.33203125" style="101" customWidth="1"/>
    <col min="8721" max="8721" width="4.88671875" style="101" customWidth="1"/>
    <col min="8722" max="8722" width="2.109375" style="101" customWidth="1"/>
    <col min="8723" max="8723" width="5.44140625" style="101" customWidth="1"/>
    <col min="8724" max="8724" width="5.88671875" style="101" customWidth="1"/>
    <col min="8725" max="8725" width="5.44140625" style="101" customWidth="1"/>
    <col min="8726" max="8726" width="5.33203125" style="101" customWidth="1"/>
    <col min="8727" max="8727" width="9" style="101" customWidth="1"/>
    <col min="8728" max="8961" width="9.109375" style="101"/>
    <col min="8962" max="8962" width="2.33203125" style="101" customWidth="1"/>
    <col min="8963" max="8963" width="14.44140625" style="101" customWidth="1"/>
    <col min="8964" max="8964" width="2.6640625" style="101" customWidth="1"/>
    <col min="8965" max="8965" width="6.44140625" style="101" customWidth="1"/>
    <col min="8966" max="8966" width="4.6640625" style="101" customWidth="1"/>
    <col min="8967" max="8967" width="6.33203125" style="101" customWidth="1"/>
    <col min="8968" max="8968" width="3.33203125" style="101" customWidth="1"/>
    <col min="8969" max="8969" width="6.109375" style="101" customWidth="1"/>
    <col min="8970" max="8970" width="3.109375" style="101" customWidth="1"/>
    <col min="8971" max="8971" width="5.6640625" style="101" customWidth="1"/>
    <col min="8972" max="8972" width="2.88671875" style="101" customWidth="1"/>
    <col min="8973" max="8973" width="5.88671875" style="101" customWidth="1"/>
    <col min="8974" max="8974" width="2.5546875" style="101" customWidth="1"/>
    <col min="8975" max="8975" width="5.6640625" style="101" customWidth="1"/>
    <col min="8976" max="8976" width="2.33203125" style="101" customWidth="1"/>
    <col min="8977" max="8977" width="4.88671875" style="101" customWidth="1"/>
    <col min="8978" max="8978" width="2.109375" style="101" customWidth="1"/>
    <col min="8979" max="8979" width="5.44140625" style="101" customWidth="1"/>
    <col min="8980" max="8980" width="5.88671875" style="101" customWidth="1"/>
    <col min="8981" max="8981" width="5.44140625" style="101" customWidth="1"/>
    <col min="8982" max="8982" width="5.33203125" style="101" customWidth="1"/>
    <col min="8983" max="8983" width="9" style="101" customWidth="1"/>
    <col min="8984" max="9217" width="9.109375" style="101"/>
    <col min="9218" max="9218" width="2.33203125" style="101" customWidth="1"/>
    <col min="9219" max="9219" width="14.44140625" style="101" customWidth="1"/>
    <col min="9220" max="9220" width="2.6640625" style="101" customWidth="1"/>
    <col min="9221" max="9221" width="6.44140625" style="101" customWidth="1"/>
    <col min="9222" max="9222" width="4.6640625" style="101" customWidth="1"/>
    <col min="9223" max="9223" width="6.33203125" style="101" customWidth="1"/>
    <col min="9224" max="9224" width="3.33203125" style="101" customWidth="1"/>
    <col min="9225" max="9225" width="6.109375" style="101" customWidth="1"/>
    <col min="9226" max="9226" width="3.109375" style="101" customWidth="1"/>
    <col min="9227" max="9227" width="5.6640625" style="101" customWidth="1"/>
    <col min="9228" max="9228" width="2.88671875" style="101" customWidth="1"/>
    <col min="9229" max="9229" width="5.88671875" style="101" customWidth="1"/>
    <col min="9230" max="9230" width="2.5546875" style="101" customWidth="1"/>
    <col min="9231" max="9231" width="5.6640625" style="101" customWidth="1"/>
    <col min="9232" max="9232" width="2.33203125" style="101" customWidth="1"/>
    <col min="9233" max="9233" width="4.88671875" style="101" customWidth="1"/>
    <col min="9234" max="9234" width="2.109375" style="101" customWidth="1"/>
    <col min="9235" max="9235" width="5.44140625" style="101" customWidth="1"/>
    <col min="9236" max="9236" width="5.88671875" style="101" customWidth="1"/>
    <col min="9237" max="9237" width="5.44140625" style="101" customWidth="1"/>
    <col min="9238" max="9238" width="5.33203125" style="101" customWidth="1"/>
    <col min="9239" max="9239" width="9" style="101" customWidth="1"/>
    <col min="9240" max="9473" width="9.109375" style="101"/>
    <col min="9474" max="9474" width="2.33203125" style="101" customWidth="1"/>
    <col min="9475" max="9475" width="14.44140625" style="101" customWidth="1"/>
    <col min="9476" max="9476" width="2.6640625" style="101" customWidth="1"/>
    <col min="9477" max="9477" width="6.44140625" style="101" customWidth="1"/>
    <col min="9478" max="9478" width="4.6640625" style="101" customWidth="1"/>
    <col min="9479" max="9479" width="6.33203125" style="101" customWidth="1"/>
    <col min="9480" max="9480" width="3.33203125" style="101" customWidth="1"/>
    <col min="9481" max="9481" width="6.109375" style="101" customWidth="1"/>
    <col min="9482" max="9482" width="3.109375" style="101" customWidth="1"/>
    <col min="9483" max="9483" width="5.6640625" style="101" customWidth="1"/>
    <col min="9484" max="9484" width="2.88671875" style="101" customWidth="1"/>
    <col min="9485" max="9485" width="5.88671875" style="101" customWidth="1"/>
    <col min="9486" max="9486" width="2.5546875" style="101" customWidth="1"/>
    <col min="9487" max="9487" width="5.6640625" style="101" customWidth="1"/>
    <col min="9488" max="9488" width="2.33203125" style="101" customWidth="1"/>
    <col min="9489" max="9489" width="4.88671875" style="101" customWidth="1"/>
    <col min="9490" max="9490" width="2.109375" style="101" customWidth="1"/>
    <col min="9491" max="9491" width="5.44140625" style="101" customWidth="1"/>
    <col min="9492" max="9492" width="5.88671875" style="101" customWidth="1"/>
    <col min="9493" max="9493" width="5.44140625" style="101" customWidth="1"/>
    <col min="9494" max="9494" width="5.33203125" style="101" customWidth="1"/>
    <col min="9495" max="9495" width="9" style="101" customWidth="1"/>
    <col min="9496" max="9729" width="9.109375" style="101"/>
    <col min="9730" max="9730" width="2.33203125" style="101" customWidth="1"/>
    <col min="9731" max="9731" width="14.44140625" style="101" customWidth="1"/>
    <col min="9732" max="9732" width="2.6640625" style="101" customWidth="1"/>
    <col min="9733" max="9733" width="6.44140625" style="101" customWidth="1"/>
    <col min="9734" max="9734" width="4.6640625" style="101" customWidth="1"/>
    <col min="9735" max="9735" width="6.33203125" style="101" customWidth="1"/>
    <col min="9736" max="9736" width="3.33203125" style="101" customWidth="1"/>
    <col min="9737" max="9737" width="6.109375" style="101" customWidth="1"/>
    <col min="9738" max="9738" width="3.109375" style="101" customWidth="1"/>
    <col min="9739" max="9739" width="5.6640625" style="101" customWidth="1"/>
    <col min="9740" max="9740" width="2.88671875" style="101" customWidth="1"/>
    <col min="9741" max="9741" width="5.88671875" style="101" customWidth="1"/>
    <col min="9742" max="9742" width="2.5546875" style="101" customWidth="1"/>
    <col min="9743" max="9743" width="5.6640625" style="101" customWidth="1"/>
    <col min="9744" max="9744" width="2.33203125" style="101" customWidth="1"/>
    <col min="9745" max="9745" width="4.88671875" style="101" customWidth="1"/>
    <col min="9746" max="9746" width="2.109375" style="101" customWidth="1"/>
    <col min="9747" max="9747" width="5.44140625" style="101" customWidth="1"/>
    <col min="9748" max="9748" width="5.88671875" style="101" customWidth="1"/>
    <col min="9749" max="9749" width="5.44140625" style="101" customWidth="1"/>
    <col min="9750" max="9750" width="5.33203125" style="101" customWidth="1"/>
    <col min="9751" max="9751" width="9" style="101" customWidth="1"/>
    <col min="9752" max="9985" width="9.109375" style="101"/>
    <col min="9986" max="9986" width="2.33203125" style="101" customWidth="1"/>
    <col min="9987" max="9987" width="14.44140625" style="101" customWidth="1"/>
    <col min="9988" max="9988" width="2.6640625" style="101" customWidth="1"/>
    <col min="9989" max="9989" width="6.44140625" style="101" customWidth="1"/>
    <col min="9990" max="9990" width="4.6640625" style="101" customWidth="1"/>
    <col min="9991" max="9991" width="6.33203125" style="101" customWidth="1"/>
    <col min="9992" max="9992" width="3.33203125" style="101" customWidth="1"/>
    <col min="9993" max="9993" width="6.109375" style="101" customWidth="1"/>
    <col min="9994" max="9994" width="3.109375" style="101" customWidth="1"/>
    <col min="9995" max="9995" width="5.6640625" style="101" customWidth="1"/>
    <col min="9996" max="9996" width="2.88671875" style="101" customWidth="1"/>
    <col min="9997" max="9997" width="5.88671875" style="101" customWidth="1"/>
    <col min="9998" max="9998" width="2.5546875" style="101" customWidth="1"/>
    <col min="9999" max="9999" width="5.6640625" style="101" customWidth="1"/>
    <col min="10000" max="10000" width="2.33203125" style="101" customWidth="1"/>
    <col min="10001" max="10001" width="4.88671875" style="101" customWidth="1"/>
    <col min="10002" max="10002" width="2.109375" style="101" customWidth="1"/>
    <col min="10003" max="10003" width="5.44140625" style="101" customWidth="1"/>
    <col min="10004" max="10004" width="5.88671875" style="101" customWidth="1"/>
    <col min="10005" max="10005" width="5.44140625" style="101" customWidth="1"/>
    <col min="10006" max="10006" width="5.33203125" style="101" customWidth="1"/>
    <col min="10007" max="10007" width="9" style="101" customWidth="1"/>
    <col min="10008" max="10241" width="9.109375" style="101"/>
    <col min="10242" max="10242" width="2.33203125" style="101" customWidth="1"/>
    <col min="10243" max="10243" width="14.44140625" style="101" customWidth="1"/>
    <col min="10244" max="10244" width="2.6640625" style="101" customWidth="1"/>
    <col min="10245" max="10245" width="6.44140625" style="101" customWidth="1"/>
    <col min="10246" max="10246" width="4.6640625" style="101" customWidth="1"/>
    <col min="10247" max="10247" width="6.33203125" style="101" customWidth="1"/>
    <col min="10248" max="10248" width="3.33203125" style="101" customWidth="1"/>
    <col min="10249" max="10249" width="6.109375" style="101" customWidth="1"/>
    <col min="10250" max="10250" width="3.109375" style="101" customWidth="1"/>
    <col min="10251" max="10251" width="5.6640625" style="101" customWidth="1"/>
    <col min="10252" max="10252" width="2.88671875" style="101" customWidth="1"/>
    <col min="10253" max="10253" width="5.88671875" style="101" customWidth="1"/>
    <col min="10254" max="10254" width="2.5546875" style="101" customWidth="1"/>
    <col min="10255" max="10255" width="5.6640625" style="101" customWidth="1"/>
    <col min="10256" max="10256" width="2.33203125" style="101" customWidth="1"/>
    <col min="10257" max="10257" width="4.88671875" style="101" customWidth="1"/>
    <col min="10258" max="10258" width="2.109375" style="101" customWidth="1"/>
    <col min="10259" max="10259" width="5.44140625" style="101" customWidth="1"/>
    <col min="10260" max="10260" width="5.88671875" style="101" customWidth="1"/>
    <col min="10261" max="10261" width="5.44140625" style="101" customWidth="1"/>
    <col min="10262" max="10262" width="5.33203125" style="101" customWidth="1"/>
    <col min="10263" max="10263" width="9" style="101" customWidth="1"/>
    <col min="10264" max="10497" width="9.109375" style="101"/>
    <col min="10498" max="10498" width="2.33203125" style="101" customWidth="1"/>
    <col min="10499" max="10499" width="14.44140625" style="101" customWidth="1"/>
    <col min="10500" max="10500" width="2.6640625" style="101" customWidth="1"/>
    <col min="10501" max="10501" width="6.44140625" style="101" customWidth="1"/>
    <col min="10502" max="10502" width="4.6640625" style="101" customWidth="1"/>
    <col min="10503" max="10503" width="6.33203125" style="101" customWidth="1"/>
    <col min="10504" max="10504" width="3.33203125" style="101" customWidth="1"/>
    <col min="10505" max="10505" width="6.109375" style="101" customWidth="1"/>
    <col min="10506" max="10506" width="3.109375" style="101" customWidth="1"/>
    <col min="10507" max="10507" width="5.6640625" style="101" customWidth="1"/>
    <col min="10508" max="10508" width="2.88671875" style="101" customWidth="1"/>
    <col min="10509" max="10509" width="5.88671875" style="101" customWidth="1"/>
    <col min="10510" max="10510" width="2.5546875" style="101" customWidth="1"/>
    <col min="10511" max="10511" width="5.6640625" style="101" customWidth="1"/>
    <col min="10512" max="10512" width="2.33203125" style="101" customWidth="1"/>
    <col min="10513" max="10513" width="4.88671875" style="101" customWidth="1"/>
    <col min="10514" max="10514" width="2.109375" style="101" customWidth="1"/>
    <col min="10515" max="10515" width="5.44140625" style="101" customWidth="1"/>
    <col min="10516" max="10516" width="5.88671875" style="101" customWidth="1"/>
    <col min="10517" max="10517" width="5.44140625" style="101" customWidth="1"/>
    <col min="10518" max="10518" width="5.33203125" style="101" customWidth="1"/>
    <col min="10519" max="10519" width="9" style="101" customWidth="1"/>
    <col min="10520" max="10753" width="9.109375" style="101"/>
    <col min="10754" max="10754" width="2.33203125" style="101" customWidth="1"/>
    <col min="10755" max="10755" width="14.44140625" style="101" customWidth="1"/>
    <col min="10756" max="10756" width="2.6640625" style="101" customWidth="1"/>
    <col min="10757" max="10757" width="6.44140625" style="101" customWidth="1"/>
    <col min="10758" max="10758" width="4.6640625" style="101" customWidth="1"/>
    <col min="10759" max="10759" width="6.33203125" style="101" customWidth="1"/>
    <col min="10760" max="10760" width="3.33203125" style="101" customWidth="1"/>
    <col min="10761" max="10761" width="6.109375" style="101" customWidth="1"/>
    <col min="10762" max="10762" width="3.109375" style="101" customWidth="1"/>
    <col min="10763" max="10763" width="5.6640625" style="101" customWidth="1"/>
    <col min="10764" max="10764" width="2.88671875" style="101" customWidth="1"/>
    <col min="10765" max="10765" width="5.88671875" style="101" customWidth="1"/>
    <col min="10766" max="10766" width="2.5546875" style="101" customWidth="1"/>
    <col min="10767" max="10767" width="5.6640625" style="101" customWidth="1"/>
    <col min="10768" max="10768" width="2.33203125" style="101" customWidth="1"/>
    <col min="10769" max="10769" width="4.88671875" style="101" customWidth="1"/>
    <col min="10770" max="10770" width="2.109375" style="101" customWidth="1"/>
    <col min="10771" max="10771" width="5.44140625" style="101" customWidth="1"/>
    <col min="10772" max="10772" width="5.88671875" style="101" customWidth="1"/>
    <col min="10773" max="10773" width="5.44140625" style="101" customWidth="1"/>
    <col min="10774" max="10774" width="5.33203125" style="101" customWidth="1"/>
    <col min="10775" max="10775" width="9" style="101" customWidth="1"/>
    <col min="10776" max="11009" width="9.109375" style="101"/>
    <col min="11010" max="11010" width="2.33203125" style="101" customWidth="1"/>
    <col min="11011" max="11011" width="14.44140625" style="101" customWidth="1"/>
    <col min="11012" max="11012" width="2.6640625" style="101" customWidth="1"/>
    <col min="11013" max="11013" width="6.44140625" style="101" customWidth="1"/>
    <col min="11014" max="11014" width="4.6640625" style="101" customWidth="1"/>
    <col min="11015" max="11015" width="6.33203125" style="101" customWidth="1"/>
    <col min="11016" max="11016" width="3.33203125" style="101" customWidth="1"/>
    <col min="11017" max="11017" width="6.109375" style="101" customWidth="1"/>
    <col min="11018" max="11018" width="3.109375" style="101" customWidth="1"/>
    <col min="11019" max="11019" width="5.6640625" style="101" customWidth="1"/>
    <col min="11020" max="11020" width="2.88671875" style="101" customWidth="1"/>
    <col min="11021" max="11021" width="5.88671875" style="101" customWidth="1"/>
    <col min="11022" max="11022" width="2.5546875" style="101" customWidth="1"/>
    <col min="11023" max="11023" width="5.6640625" style="101" customWidth="1"/>
    <col min="11024" max="11024" width="2.33203125" style="101" customWidth="1"/>
    <col min="11025" max="11025" width="4.88671875" style="101" customWidth="1"/>
    <col min="11026" max="11026" width="2.109375" style="101" customWidth="1"/>
    <col min="11027" max="11027" width="5.44140625" style="101" customWidth="1"/>
    <col min="11028" max="11028" width="5.88671875" style="101" customWidth="1"/>
    <col min="11029" max="11029" width="5.44140625" style="101" customWidth="1"/>
    <col min="11030" max="11030" width="5.33203125" style="101" customWidth="1"/>
    <col min="11031" max="11031" width="9" style="101" customWidth="1"/>
    <col min="11032" max="11265" width="9.109375" style="101"/>
    <col min="11266" max="11266" width="2.33203125" style="101" customWidth="1"/>
    <col min="11267" max="11267" width="14.44140625" style="101" customWidth="1"/>
    <col min="11268" max="11268" width="2.6640625" style="101" customWidth="1"/>
    <col min="11269" max="11269" width="6.44140625" style="101" customWidth="1"/>
    <col min="11270" max="11270" width="4.6640625" style="101" customWidth="1"/>
    <col min="11271" max="11271" width="6.33203125" style="101" customWidth="1"/>
    <col min="11272" max="11272" width="3.33203125" style="101" customWidth="1"/>
    <col min="11273" max="11273" width="6.109375" style="101" customWidth="1"/>
    <col min="11274" max="11274" width="3.109375" style="101" customWidth="1"/>
    <col min="11275" max="11275" width="5.6640625" style="101" customWidth="1"/>
    <col min="11276" max="11276" width="2.88671875" style="101" customWidth="1"/>
    <col min="11277" max="11277" width="5.88671875" style="101" customWidth="1"/>
    <col min="11278" max="11278" width="2.5546875" style="101" customWidth="1"/>
    <col min="11279" max="11279" width="5.6640625" style="101" customWidth="1"/>
    <col min="11280" max="11280" width="2.33203125" style="101" customWidth="1"/>
    <col min="11281" max="11281" width="4.88671875" style="101" customWidth="1"/>
    <col min="11282" max="11282" width="2.109375" style="101" customWidth="1"/>
    <col min="11283" max="11283" width="5.44140625" style="101" customWidth="1"/>
    <col min="11284" max="11284" width="5.88671875" style="101" customWidth="1"/>
    <col min="11285" max="11285" width="5.44140625" style="101" customWidth="1"/>
    <col min="11286" max="11286" width="5.33203125" style="101" customWidth="1"/>
    <col min="11287" max="11287" width="9" style="101" customWidth="1"/>
    <col min="11288" max="11521" width="9.109375" style="101"/>
    <col min="11522" max="11522" width="2.33203125" style="101" customWidth="1"/>
    <col min="11523" max="11523" width="14.44140625" style="101" customWidth="1"/>
    <col min="11524" max="11524" width="2.6640625" style="101" customWidth="1"/>
    <col min="11525" max="11525" width="6.44140625" style="101" customWidth="1"/>
    <col min="11526" max="11526" width="4.6640625" style="101" customWidth="1"/>
    <col min="11527" max="11527" width="6.33203125" style="101" customWidth="1"/>
    <col min="11528" max="11528" width="3.33203125" style="101" customWidth="1"/>
    <col min="11529" max="11529" width="6.109375" style="101" customWidth="1"/>
    <col min="11530" max="11530" width="3.109375" style="101" customWidth="1"/>
    <col min="11531" max="11531" width="5.6640625" style="101" customWidth="1"/>
    <col min="11532" max="11532" width="2.88671875" style="101" customWidth="1"/>
    <col min="11533" max="11533" width="5.88671875" style="101" customWidth="1"/>
    <col min="11534" max="11534" width="2.5546875" style="101" customWidth="1"/>
    <col min="11535" max="11535" width="5.6640625" style="101" customWidth="1"/>
    <col min="11536" max="11536" width="2.33203125" style="101" customWidth="1"/>
    <col min="11537" max="11537" width="4.88671875" style="101" customWidth="1"/>
    <col min="11538" max="11538" width="2.109375" style="101" customWidth="1"/>
    <col min="11539" max="11539" width="5.44140625" style="101" customWidth="1"/>
    <col min="11540" max="11540" width="5.88671875" style="101" customWidth="1"/>
    <col min="11541" max="11541" width="5.44140625" style="101" customWidth="1"/>
    <col min="11542" max="11542" width="5.33203125" style="101" customWidth="1"/>
    <col min="11543" max="11543" width="9" style="101" customWidth="1"/>
    <col min="11544" max="11777" width="9.109375" style="101"/>
    <col min="11778" max="11778" width="2.33203125" style="101" customWidth="1"/>
    <col min="11779" max="11779" width="14.44140625" style="101" customWidth="1"/>
    <col min="11780" max="11780" width="2.6640625" style="101" customWidth="1"/>
    <col min="11781" max="11781" width="6.44140625" style="101" customWidth="1"/>
    <col min="11782" max="11782" width="4.6640625" style="101" customWidth="1"/>
    <col min="11783" max="11783" width="6.33203125" style="101" customWidth="1"/>
    <col min="11784" max="11784" width="3.33203125" style="101" customWidth="1"/>
    <col min="11785" max="11785" width="6.109375" style="101" customWidth="1"/>
    <col min="11786" max="11786" width="3.109375" style="101" customWidth="1"/>
    <col min="11787" max="11787" width="5.6640625" style="101" customWidth="1"/>
    <col min="11788" max="11788" width="2.88671875" style="101" customWidth="1"/>
    <col min="11789" max="11789" width="5.88671875" style="101" customWidth="1"/>
    <col min="11790" max="11790" width="2.5546875" style="101" customWidth="1"/>
    <col min="11791" max="11791" width="5.6640625" style="101" customWidth="1"/>
    <col min="11792" max="11792" width="2.33203125" style="101" customWidth="1"/>
    <col min="11793" max="11793" width="4.88671875" style="101" customWidth="1"/>
    <col min="11794" max="11794" width="2.109375" style="101" customWidth="1"/>
    <col min="11795" max="11795" width="5.44140625" style="101" customWidth="1"/>
    <col min="11796" max="11796" width="5.88671875" style="101" customWidth="1"/>
    <col min="11797" max="11797" width="5.44140625" style="101" customWidth="1"/>
    <col min="11798" max="11798" width="5.33203125" style="101" customWidth="1"/>
    <col min="11799" max="11799" width="9" style="101" customWidth="1"/>
    <col min="11800" max="12033" width="9.109375" style="101"/>
    <col min="12034" max="12034" width="2.33203125" style="101" customWidth="1"/>
    <col min="12035" max="12035" width="14.44140625" style="101" customWidth="1"/>
    <col min="12036" max="12036" width="2.6640625" style="101" customWidth="1"/>
    <col min="12037" max="12037" width="6.44140625" style="101" customWidth="1"/>
    <col min="12038" max="12038" width="4.6640625" style="101" customWidth="1"/>
    <col min="12039" max="12039" width="6.33203125" style="101" customWidth="1"/>
    <col min="12040" max="12040" width="3.33203125" style="101" customWidth="1"/>
    <col min="12041" max="12041" width="6.109375" style="101" customWidth="1"/>
    <col min="12042" max="12042" width="3.109375" style="101" customWidth="1"/>
    <col min="12043" max="12043" width="5.6640625" style="101" customWidth="1"/>
    <col min="12044" max="12044" width="2.88671875" style="101" customWidth="1"/>
    <col min="12045" max="12045" width="5.88671875" style="101" customWidth="1"/>
    <col min="12046" max="12046" width="2.5546875" style="101" customWidth="1"/>
    <col min="12047" max="12047" width="5.6640625" style="101" customWidth="1"/>
    <col min="12048" max="12048" width="2.33203125" style="101" customWidth="1"/>
    <col min="12049" max="12049" width="4.88671875" style="101" customWidth="1"/>
    <col min="12050" max="12050" width="2.109375" style="101" customWidth="1"/>
    <col min="12051" max="12051" width="5.44140625" style="101" customWidth="1"/>
    <col min="12052" max="12052" width="5.88671875" style="101" customWidth="1"/>
    <col min="12053" max="12053" width="5.44140625" style="101" customWidth="1"/>
    <col min="12054" max="12054" width="5.33203125" style="101" customWidth="1"/>
    <col min="12055" max="12055" width="9" style="101" customWidth="1"/>
    <col min="12056" max="12289" width="9.109375" style="101"/>
    <col min="12290" max="12290" width="2.33203125" style="101" customWidth="1"/>
    <col min="12291" max="12291" width="14.44140625" style="101" customWidth="1"/>
    <col min="12292" max="12292" width="2.6640625" style="101" customWidth="1"/>
    <col min="12293" max="12293" width="6.44140625" style="101" customWidth="1"/>
    <col min="12294" max="12294" width="4.6640625" style="101" customWidth="1"/>
    <col min="12295" max="12295" width="6.33203125" style="101" customWidth="1"/>
    <col min="12296" max="12296" width="3.33203125" style="101" customWidth="1"/>
    <col min="12297" max="12297" width="6.109375" style="101" customWidth="1"/>
    <col min="12298" max="12298" width="3.109375" style="101" customWidth="1"/>
    <col min="12299" max="12299" width="5.6640625" style="101" customWidth="1"/>
    <col min="12300" max="12300" width="2.88671875" style="101" customWidth="1"/>
    <col min="12301" max="12301" width="5.88671875" style="101" customWidth="1"/>
    <col min="12302" max="12302" width="2.5546875" style="101" customWidth="1"/>
    <col min="12303" max="12303" width="5.6640625" style="101" customWidth="1"/>
    <col min="12304" max="12304" width="2.33203125" style="101" customWidth="1"/>
    <col min="12305" max="12305" width="4.88671875" style="101" customWidth="1"/>
    <col min="12306" max="12306" width="2.109375" style="101" customWidth="1"/>
    <col min="12307" max="12307" width="5.44140625" style="101" customWidth="1"/>
    <col min="12308" max="12308" width="5.88671875" style="101" customWidth="1"/>
    <col min="12309" max="12309" width="5.44140625" style="101" customWidth="1"/>
    <col min="12310" max="12310" width="5.33203125" style="101" customWidth="1"/>
    <col min="12311" max="12311" width="9" style="101" customWidth="1"/>
    <col min="12312" max="12545" width="9.109375" style="101"/>
    <col min="12546" max="12546" width="2.33203125" style="101" customWidth="1"/>
    <col min="12547" max="12547" width="14.44140625" style="101" customWidth="1"/>
    <col min="12548" max="12548" width="2.6640625" style="101" customWidth="1"/>
    <col min="12549" max="12549" width="6.44140625" style="101" customWidth="1"/>
    <col min="12550" max="12550" width="4.6640625" style="101" customWidth="1"/>
    <col min="12551" max="12551" width="6.33203125" style="101" customWidth="1"/>
    <col min="12552" max="12552" width="3.33203125" style="101" customWidth="1"/>
    <col min="12553" max="12553" width="6.109375" style="101" customWidth="1"/>
    <col min="12554" max="12554" width="3.109375" style="101" customWidth="1"/>
    <col min="12555" max="12555" width="5.6640625" style="101" customWidth="1"/>
    <col min="12556" max="12556" width="2.88671875" style="101" customWidth="1"/>
    <col min="12557" max="12557" width="5.88671875" style="101" customWidth="1"/>
    <col min="12558" max="12558" width="2.5546875" style="101" customWidth="1"/>
    <col min="12559" max="12559" width="5.6640625" style="101" customWidth="1"/>
    <col min="12560" max="12560" width="2.33203125" style="101" customWidth="1"/>
    <col min="12561" max="12561" width="4.88671875" style="101" customWidth="1"/>
    <col min="12562" max="12562" width="2.109375" style="101" customWidth="1"/>
    <col min="12563" max="12563" width="5.44140625" style="101" customWidth="1"/>
    <col min="12564" max="12564" width="5.88671875" style="101" customWidth="1"/>
    <col min="12565" max="12565" width="5.44140625" style="101" customWidth="1"/>
    <col min="12566" max="12566" width="5.33203125" style="101" customWidth="1"/>
    <col min="12567" max="12567" width="9" style="101" customWidth="1"/>
    <col min="12568" max="12801" width="9.109375" style="101"/>
    <col min="12802" max="12802" width="2.33203125" style="101" customWidth="1"/>
    <col min="12803" max="12803" width="14.44140625" style="101" customWidth="1"/>
    <col min="12804" max="12804" width="2.6640625" style="101" customWidth="1"/>
    <col min="12805" max="12805" width="6.44140625" style="101" customWidth="1"/>
    <col min="12806" max="12806" width="4.6640625" style="101" customWidth="1"/>
    <col min="12807" max="12807" width="6.33203125" style="101" customWidth="1"/>
    <col min="12808" max="12808" width="3.33203125" style="101" customWidth="1"/>
    <col min="12809" max="12809" width="6.109375" style="101" customWidth="1"/>
    <col min="12810" max="12810" width="3.109375" style="101" customWidth="1"/>
    <col min="12811" max="12811" width="5.6640625" style="101" customWidth="1"/>
    <col min="12812" max="12812" width="2.88671875" style="101" customWidth="1"/>
    <col min="12813" max="12813" width="5.88671875" style="101" customWidth="1"/>
    <col min="12814" max="12814" width="2.5546875" style="101" customWidth="1"/>
    <col min="12815" max="12815" width="5.6640625" style="101" customWidth="1"/>
    <col min="12816" max="12816" width="2.33203125" style="101" customWidth="1"/>
    <col min="12817" max="12817" width="4.88671875" style="101" customWidth="1"/>
    <col min="12818" max="12818" width="2.109375" style="101" customWidth="1"/>
    <col min="12819" max="12819" width="5.44140625" style="101" customWidth="1"/>
    <col min="12820" max="12820" width="5.88671875" style="101" customWidth="1"/>
    <col min="12821" max="12821" width="5.44140625" style="101" customWidth="1"/>
    <col min="12822" max="12822" width="5.33203125" style="101" customWidth="1"/>
    <col min="12823" max="12823" width="9" style="101" customWidth="1"/>
    <col min="12824" max="13057" width="9.109375" style="101"/>
    <col min="13058" max="13058" width="2.33203125" style="101" customWidth="1"/>
    <col min="13059" max="13059" width="14.44140625" style="101" customWidth="1"/>
    <col min="13060" max="13060" width="2.6640625" style="101" customWidth="1"/>
    <col min="13061" max="13061" width="6.44140625" style="101" customWidth="1"/>
    <col min="13062" max="13062" width="4.6640625" style="101" customWidth="1"/>
    <col min="13063" max="13063" width="6.33203125" style="101" customWidth="1"/>
    <col min="13064" max="13064" width="3.33203125" style="101" customWidth="1"/>
    <col min="13065" max="13065" width="6.109375" style="101" customWidth="1"/>
    <col min="13066" max="13066" width="3.109375" style="101" customWidth="1"/>
    <col min="13067" max="13067" width="5.6640625" style="101" customWidth="1"/>
    <col min="13068" max="13068" width="2.88671875" style="101" customWidth="1"/>
    <col min="13069" max="13069" width="5.88671875" style="101" customWidth="1"/>
    <col min="13070" max="13070" width="2.5546875" style="101" customWidth="1"/>
    <col min="13071" max="13071" width="5.6640625" style="101" customWidth="1"/>
    <col min="13072" max="13072" width="2.33203125" style="101" customWidth="1"/>
    <col min="13073" max="13073" width="4.88671875" style="101" customWidth="1"/>
    <col min="13074" max="13074" width="2.109375" style="101" customWidth="1"/>
    <col min="13075" max="13075" width="5.44140625" style="101" customWidth="1"/>
    <col min="13076" max="13076" width="5.88671875" style="101" customWidth="1"/>
    <col min="13077" max="13077" width="5.44140625" style="101" customWidth="1"/>
    <col min="13078" max="13078" width="5.33203125" style="101" customWidth="1"/>
    <col min="13079" max="13079" width="9" style="101" customWidth="1"/>
    <col min="13080" max="13313" width="9.109375" style="101"/>
    <col min="13314" max="13314" width="2.33203125" style="101" customWidth="1"/>
    <col min="13315" max="13315" width="14.44140625" style="101" customWidth="1"/>
    <col min="13316" max="13316" width="2.6640625" style="101" customWidth="1"/>
    <col min="13317" max="13317" width="6.44140625" style="101" customWidth="1"/>
    <col min="13318" max="13318" width="4.6640625" style="101" customWidth="1"/>
    <col min="13319" max="13319" width="6.33203125" style="101" customWidth="1"/>
    <col min="13320" max="13320" width="3.33203125" style="101" customWidth="1"/>
    <col min="13321" max="13321" width="6.109375" style="101" customWidth="1"/>
    <col min="13322" max="13322" width="3.109375" style="101" customWidth="1"/>
    <col min="13323" max="13323" width="5.6640625" style="101" customWidth="1"/>
    <col min="13324" max="13324" width="2.88671875" style="101" customWidth="1"/>
    <col min="13325" max="13325" width="5.88671875" style="101" customWidth="1"/>
    <col min="13326" max="13326" width="2.5546875" style="101" customWidth="1"/>
    <col min="13327" max="13327" width="5.6640625" style="101" customWidth="1"/>
    <col min="13328" max="13328" width="2.33203125" style="101" customWidth="1"/>
    <col min="13329" max="13329" width="4.88671875" style="101" customWidth="1"/>
    <col min="13330" max="13330" width="2.109375" style="101" customWidth="1"/>
    <col min="13331" max="13331" width="5.44140625" style="101" customWidth="1"/>
    <col min="13332" max="13332" width="5.88671875" style="101" customWidth="1"/>
    <col min="13333" max="13333" width="5.44140625" style="101" customWidth="1"/>
    <col min="13334" max="13334" width="5.33203125" style="101" customWidth="1"/>
    <col min="13335" max="13335" width="9" style="101" customWidth="1"/>
    <col min="13336" max="13569" width="9.109375" style="101"/>
    <col min="13570" max="13570" width="2.33203125" style="101" customWidth="1"/>
    <col min="13571" max="13571" width="14.44140625" style="101" customWidth="1"/>
    <col min="13572" max="13572" width="2.6640625" style="101" customWidth="1"/>
    <col min="13573" max="13573" width="6.44140625" style="101" customWidth="1"/>
    <col min="13574" max="13574" width="4.6640625" style="101" customWidth="1"/>
    <col min="13575" max="13575" width="6.33203125" style="101" customWidth="1"/>
    <col min="13576" max="13576" width="3.33203125" style="101" customWidth="1"/>
    <col min="13577" max="13577" width="6.109375" style="101" customWidth="1"/>
    <col min="13578" max="13578" width="3.109375" style="101" customWidth="1"/>
    <col min="13579" max="13579" width="5.6640625" style="101" customWidth="1"/>
    <col min="13580" max="13580" width="2.88671875" style="101" customWidth="1"/>
    <col min="13581" max="13581" width="5.88671875" style="101" customWidth="1"/>
    <col min="13582" max="13582" width="2.5546875" style="101" customWidth="1"/>
    <col min="13583" max="13583" width="5.6640625" style="101" customWidth="1"/>
    <col min="13584" max="13584" width="2.33203125" style="101" customWidth="1"/>
    <col min="13585" max="13585" width="4.88671875" style="101" customWidth="1"/>
    <col min="13586" max="13586" width="2.109375" style="101" customWidth="1"/>
    <col min="13587" max="13587" width="5.44140625" style="101" customWidth="1"/>
    <col min="13588" max="13588" width="5.88671875" style="101" customWidth="1"/>
    <col min="13589" max="13589" width="5.44140625" style="101" customWidth="1"/>
    <col min="13590" max="13590" width="5.33203125" style="101" customWidth="1"/>
    <col min="13591" max="13591" width="9" style="101" customWidth="1"/>
    <col min="13592" max="13825" width="9.109375" style="101"/>
    <col min="13826" max="13826" width="2.33203125" style="101" customWidth="1"/>
    <col min="13827" max="13827" width="14.44140625" style="101" customWidth="1"/>
    <col min="13828" max="13828" width="2.6640625" style="101" customWidth="1"/>
    <col min="13829" max="13829" width="6.44140625" style="101" customWidth="1"/>
    <col min="13830" max="13830" width="4.6640625" style="101" customWidth="1"/>
    <col min="13831" max="13831" width="6.33203125" style="101" customWidth="1"/>
    <col min="13832" max="13832" width="3.33203125" style="101" customWidth="1"/>
    <col min="13833" max="13833" width="6.109375" style="101" customWidth="1"/>
    <col min="13834" max="13834" width="3.109375" style="101" customWidth="1"/>
    <col min="13835" max="13835" width="5.6640625" style="101" customWidth="1"/>
    <col min="13836" max="13836" width="2.88671875" style="101" customWidth="1"/>
    <col min="13837" max="13837" width="5.88671875" style="101" customWidth="1"/>
    <col min="13838" max="13838" width="2.5546875" style="101" customWidth="1"/>
    <col min="13839" max="13839" width="5.6640625" style="101" customWidth="1"/>
    <col min="13840" max="13840" width="2.33203125" style="101" customWidth="1"/>
    <col min="13841" max="13841" width="4.88671875" style="101" customWidth="1"/>
    <col min="13842" max="13842" width="2.109375" style="101" customWidth="1"/>
    <col min="13843" max="13843" width="5.44140625" style="101" customWidth="1"/>
    <col min="13844" max="13844" width="5.88671875" style="101" customWidth="1"/>
    <col min="13845" max="13845" width="5.44140625" style="101" customWidth="1"/>
    <col min="13846" max="13846" width="5.33203125" style="101" customWidth="1"/>
    <col min="13847" max="13847" width="9" style="101" customWidth="1"/>
    <col min="13848" max="14081" width="9.109375" style="101"/>
    <col min="14082" max="14082" width="2.33203125" style="101" customWidth="1"/>
    <col min="14083" max="14083" width="14.44140625" style="101" customWidth="1"/>
    <col min="14084" max="14084" width="2.6640625" style="101" customWidth="1"/>
    <col min="14085" max="14085" width="6.44140625" style="101" customWidth="1"/>
    <col min="14086" max="14086" width="4.6640625" style="101" customWidth="1"/>
    <col min="14087" max="14087" width="6.33203125" style="101" customWidth="1"/>
    <col min="14088" max="14088" width="3.33203125" style="101" customWidth="1"/>
    <col min="14089" max="14089" width="6.109375" style="101" customWidth="1"/>
    <col min="14090" max="14090" width="3.109375" style="101" customWidth="1"/>
    <col min="14091" max="14091" width="5.6640625" style="101" customWidth="1"/>
    <col min="14092" max="14092" width="2.88671875" style="101" customWidth="1"/>
    <col min="14093" max="14093" width="5.88671875" style="101" customWidth="1"/>
    <col min="14094" max="14094" width="2.5546875" style="101" customWidth="1"/>
    <col min="14095" max="14095" width="5.6640625" style="101" customWidth="1"/>
    <col min="14096" max="14096" width="2.33203125" style="101" customWidth="1"/>
    <col min="14097" max="14097" width="4.88671875" style="101" customWidth="1"/>
    <col min="14098" max="14098" width="2.109375" style="101" customWidth="1"/>
    <col min="14099" max="14099" width="5.44140625" style="101" customWidth="1"/>
    <col min="14100" max="14100" width="5.88671875" style="101" customWidth="1"/>
    <col min="14101" max="14101" width="5.44140625" style="101" customWidth="1"/>
    <col min="14102" max="14102" width="5.33203125" style="101" customWidth="1"/>
    <col min="14103" max="14103" width="9" style="101" customWidth="1"/>
    <col min="14104" max="14337" width="9.109375" style="101"/>
    <col min="14338" max="14338" width="2.33203125" style="101" customWidth="1"/>
    <col min="14339" max="14339" width="14.44140625" style="101" customWidth="1"/>
    <col min="14340" max="14340" width="2.6640625" style="101" customWidth="1"/>
    <col min="14341" max="14341" width="6.44140625" style="101" customWidth="1"/>
    <col min="14342" max="14342" width="4.6640625" style="101" customWidth="1"/>
    <col min="14343" max="14343" width="6.33203125" style="101" customWidth="1"/>
    <col min="14344" max="14344" width="3.33203125" style="101" customWidth="1"/>
    <col min="14345" max="14345" width="6.109375" style="101" customWidth="1"/>
    <col min="14346" max="14346" width="3.109375" style="101" customWidth="1"/>
    <col min="14347" max="14347" width="5.6640625" style="101" customWidth="1"/>
    <col min="14348" max="14348" width="2.88671875" style="101" customWidth="1"/>
    <col min="14349" max="14349" width="5.88671875" style="101" customWidth="1"/>
    <col min="14350" max="14350" width="2.5546875" style="101" customWidth="1"/>
    <col min="14351" max="14351" width="5.6640625" style="101" customWidth="1"/>
    <col min="14352" max="14352" width="2.33203125" style="101" customWidth="1"/>
    <col min="14353" max="14353" width="4.88671875" style="101" customWidth="1"/>
    <col min="14354" max="14354" width="2.109375" style="101" customWidth="1"/>
    <col min="14355" max="14355" width="5.44140625" style="101" customWidth="1"/>
    <col min="14356" max="14356" width="5.88671875" style="101" customWidth="1"/>
    <col min="14357" max="14357" width="5.44140625" style="101" customWidth="1"/>
    <col min="14358" max="14358" width="5.33203125" style="101" customWidth="1"/>
    <col min="14359" max="14359" width="9" style="101" customWidth="1"/>
    <col min="14360" max="14593" width="9.109375" style="101"/>
    <col min="14594" max="14594" width="2.33203125" style="101" customWidth="1"/>
    <col min="14595" max="14595" width="14.44140625" style="101" customWidth="1"/>
    <col min="14596" max="14596" width="2.6640625" style="101" customWidth="1"/>
    <col min="14597" max="14597" width="6.44140625" style="101" customWidth="1"/>
    <col min="14598" max="14598" width="4.6640625" style="101" customWidth="1"/>
    <col min="14599" max="14599" width="6.33203125" style="101" customWidth="1"/>
    <col min="14600" max="14600" width="3.33203125" style="101" customWidth="1"/>
    <col min="14601" max="14601" width="6.109375" style="101" customWidth="1"/>
    <col min="14602" max="14602" width="3.109375" style="101" customWidth="1"/>
    <col min="14603" max="14603" width="5.6640625" style="101" customWidth="1"/>
    <col min="14604" max="14604" width="2.88671875" style="101" customWidth="1"/>
    <col min="14605" max="14605" width="5.88671875" style="101" customWidth="1"/>
    <col min="14606" max="14606" width="2.5546875" style="101" customWidth="1"/>
    <col min="14607" max="14607" width="5.6640625" style="101" customWidth="1"/>
    <col min="14608" max="14608" width="2.33203125" style="101" customWidth="1"/>
    <col min="14609" max="14609" width="4.88671875" style="101" customWidth="1"/>
    <col min="14610" max="14610" width="2.109375" style="101" customWidth="1"/>
    <col min="14611" max="14611" width="5.44140625" style="101" customWidth="1"/>
    <col min="14612" max="14612" width="5.88671875" style="101" customWidth="1"/>
    <col min="14613" max="14613" width="5.44140625" style="101" customWidth="1"/>
    <col min="14614" max="14614" width="5.33203125" style="101" customWidth="1"/>
    <col min="14615" max="14615" width="9" style="101" customWidth="1"/>
    <col min="14616" max="14849" width="9.109375" style="101"/>
    <col min="14850" max="14850" width="2.33203125" style="101" customWidth="1"/>
    <col min="14851" max="14851" width="14.44140625" style="101" customWidth="1"/>
    <col min="14852" max="14852" width="2.6640625" style="101" customWidth="1"/>
    <col min="14853" max="14853" width="6.44140625" style="101" customWidth="1"/>
    <col min="14854" max="14854" width="4.6640625" style="101" customWidth="1"/>
    <col min="14855" max="14855" width="6.33203125" style="101" customWidth="1"/>
    <col min="14856" max="14856" width="3.33203125" style="101" customWidth="1"/>
    <col min="14857" max="14857" width="6.109375" style="101" customWidth="1"/>
    <col min="14858" max="14858" width="3.109375" style="101" customWidth="1"/>
    <col min="14859" max="14859" width="5.6640625" style="101" customWidth="1"/>
    <col min="14860" max="14860" width="2.88671875" style="101" customWidth="1"/>
    <col min="14861" max="14861" width="5.88671875" style="101" customWidth="1"/>
    <col min="14862" max="14862" width="2.5546875" style="101" customWidth="1"/>
    <col min="14863" max="14863" width="5.6640625" style="101" customWidth="1"/>
    <col min="14864" max="14864" width="2.33203125" style="101" customWidth="1"/>
    <col min="14865" max="14865" width="4.88671875" style="101" customWidth="1"/>
    <col min="14866" max="14866" width="2.109375" style="101" customWidth="1"/>
    <col min="14867" max="14867" width="5.44140625" style="101" customWidth="1"/>
    <col min="14868" max="14868" width="5.88671875" style="101" customWidth="1"/>
    <col min="14869" max="14869" width="5.44140625" style="101" customWidth="1"/>
    <col min="14870" max="14870" width="5.33203125" style="101" customWidth="1"/>
    <col min="14871" max="14871" width="9" style="101" customWidth="1"/>
    <col min="14872" max="15105" width="9.109375" style="101"/>
    <col min="15106" max="15106" width="2.33203125" style="101" customWidth="1"/>
    <col min="15107" max="15107" width="14.44140625" style="101" customWidth="1"/>
    <col min="15108" max="15108" width="2.6640625" style="101" customWidth="1"/>
    <col min="15109" max="15109" width="6.44140625" style="101" customWidth="1"/>
    <col min="15110" max="15110" width="4.6640625" style="101" customWidth="1"/>
    <col min="15111" max="15111" width="6.33203125" style="101" customWidth="1"/>
    <col min="15112" max="15112" width="3.33203125" style="101" customWidth="1"/>
    <col min="15113" max="15113" width="6.109375" style="101" customWidth="1"/>
    <col min="15114" max="15114" width="3.109375" style="101" customWidth="1"/>
    <col min="15115" max="15115" width="5.6640625" style="101" customWidth="1"/>
    <col min="15116" max="15116" width="2.88671875" style="101" customWidth="1"/>
    <col min="15117" max="15117" width="5.88671875" style="101" customWidth="1"/>
    <col min="15118" max="15118" width="2.5546875" style="101" customWidth="1"/>
    <col min="15119" max="15119" width="5.6640625" style="101" customWidth="1"/>
    <col min="15120" max="15120" width="2.33203125" style="101" customWidth="1"/>
    <col min="15121" max="15121" width="4.88671875" style="101" customWidth="1"/>
    <col min="15122" max="15122" width="2.109375" style="101" customWidth="1"/>
    <col min="15123" max="15123" width="5.44140625" style="101" customWidth="1"/>
    <col min="15124" max="15124" width="5.88671875" style="101" customWidth="1"/>
    <col min="15125" max="15125" width="5.44140625" style="101" customWidth="1"/>
    <col min="15126" max="15126" width="5.33203125" style="101" customWidth="1"/>
    <col min="15127" max="15127" width="9" style="101" customWidth="1"/>
    <col min="15128" max="15361" width="9.109375" style="101"/>
    <col min="15362" max="15362" width="2.33203125" style="101" customWidth="1"/>
    <col min="15363" max="15363" width="14.44140625" style="101" customWidth="1"/>
    <col min="15364" max="15364" width="2.6640625" style="101" customWidth="1"/>
    <col min="15365" max="15365" width="6.44140625" style="101" customWidth="1"/>
    <col min="15366" max="15366" width="4.6640625" style="101" customWidth="1"/>
    <col min="15367" max="15367" width="6.33203125" style="101" customWidth="1"/>
    <col min="15368" max="15368" width="3.33203125" style="101" customWidth="1"/>
    <col min="15369" max="15369" width="6.109375" style="101" customWidth="1"/>
    <col min="15370" max="15370" width="3.109375" style="101" customWidth="1"/>
    <col min="15371" max="15371" width="5.6640625" style="101" customWidth="1"/>
    <col min="15372" max="15372" width="2.88671875" style="101" customWidth="1"/>
    <col min="15373" max="15373" width="5.88671875" style="101" customWidth="1"/>
    <col min="15374" max="15374" width="2.5546875" style="101" customWidth="1"/>
    <col min="15375" max="15375" width="5.6640625" style="101" customWidth="1"/>
    <col min="15376" max="15376" width="2.33203125" style="101" customWidth="1"/>
    <col min="15377" max="15377" width="4.88671875" style="101" customWidth="1"/>
    <col min="15378" max="15378" width="2.109375" style="101" customWidth="1"/>
    <col min="15379" max="15379" width="5.44140625" style="101" customWidth="1"/>
    <col min="15380" max="15380" width="5.88671875" style="101" customWidth="1"/>
    <col min="15381" max="15381" width="5.44140625" style="101" customWidth="1"/>
    <col min="15382" max="15382" width="5.33203125" style="101" customWidth="1"/>
    <col min="15383" max="15383" width="9" style="101" customWidth="1"/>
    <col min="15384" max="15617" width="9.109375" style="101"/>
    <col min="15618" max="15618" width="2.33203125" style="101" customWidth="1"/>
    <col min="15619" max="15619" width="14.44140625" style="101" customWidth="1"/>
    <col min="15620" max="15620" width="2.6640625" style="101" customWidth="1"/>
    <col min="15621" max="15621" width="6.44140625" style="101" customWidth="1"/>
    <col min="15622" max="15622" width="4.6640625" style="101" customWidth="1"/>
    <col min="15623" max="15623" width="6.33203125" style="101" customWidth="1"/>
    <col min="15624" max="15624" width="3.33203125" style="101" customWidth="1"/>
    <col min="15625" max="15625" width="6.109375" style="101" customWidth="1"/>
    <col min="15626" max="15626" width="3.109375" style="101" customWidth="1"/>
    <col min="15627" max="15627" width="5.6640625" style="101" customWidth="1"/>
    <col min="15628" max="15628" width="2.88671875" style="101" customWidth="1"/>
    <col min="15629" max="15629" width="5.88671875" style="101" customWidth="1"/>
    <col min="15630" max="15630" width="2.5546875" style="101" customWidth="1"/>
    <col min="15631" max="15631" width="5.6640625" style="101" customWidth="1"/>
    <col min="15632" max="15632" width="2.33203125" style="101" customWidth="1"/>
    <col min="15633" max="15633" width="4.88671875" style="101" customWidth="1"/>
    <col min="15634" max="15634" width="2.109375" style="101" customWidth="1"/>
    <col min="15635" max="15635" width="5.44140625" style="101" customWidth="1"/>
    <col min="15636" max="15636" width="5.88671875" style="101" customWidth="1"/>
    <col min="15637" max="15637" width="5.44140625" style="101" customWidth="1"/>
    <col min="15638" max="15638" width="5.33203125" style="101" customWidth="1"/>
    <col min="15639" max="15639" width="9" style="101" customWidth="1"/>
    <col min="15640" max="15873" width="9.109375" style="101"/>
    <col min="15874" max="15874" width="2.33203125" style="101" customWidth="1"/>
    <col min="15875" max="15875" width="14.44140625" style="101" customWidth="1"/>
    <col min="15876" max="15876" width="2.6640625" style="101" customWidth="1"/>
    <col min="15877" max="15877" width="6.44140625" style="101" customWidth="1"/>
    <col min="15878" max="15878" width="4.6640625" style="101" customWidth="1"/>
    <col min="15879" max="15879" width="6.33203125" style="101" customWidth="1"/>
    <col min="15880" max="15880" width="3.33203125" style="101" customWidth="1"/>
    <col min="15881" max="15881" width="6.109375" style="101" customWidth="1"/>
    <col min="15882" max="15882" width="3.109375" style="101" customWidth="1"/>
    <col min="15883" max="15883" width="5.6640625" style="101" customWidth="1"/>
    <col min="15884" max="15884" width="2.88671875" style="101" customWidth="1"/>
    <col min="15885" max="15885" width="5.88671875" style="101" customWidth="1"/>
    <col min="15886" max="15886" width="2.5546875" style="101" customWidth="1"/>
    <col min="15887" max="15887" width="5.6640625" style="101" customWidth="1"/>
    <col min="15888" max="15888" width="2.33203125" style="101" customWidth="1"/>
    <col min="15889" max="15889" width="4.88671875" style="101" customWidth="1"/>
    <col min="15890" max="15890" width="2.109375" style="101" customWidth="1"/>
    <col min="15891" max="15891" width="5.44140625" style="101" customWidth="1"/>
    <col min="15892" max="15892" width="5.88671875" style="101" customWidth="1"/>
    <col min="15893" max="15893" width="5.44140625" style="101" customWidth="1"/>
    <col min="15894" max="15894" width="5.33203125" style="101" customWidth="1"/>
    <col min="15895" max="15895" width="9" style="101" customWidth="1"/>
    <col min="15896" max="16129" width="9.109375" style="101"/>
    <col min="16130" max="16130" width="2.33203125" style="101" customWidth="1"/>
    <col min="16131" max="16131" width="14.44140625" style="101" customWidth="1"/>
    <col min="16132" max="16132" width="2.6640625" style="101" customWidth="1"/>
    <col min="16133" max="16133" width="6.44140625" style="101" customWidth="1"/>
    <col min="16134" max="16134" width="4.6640625" style="101" customWidth="1"/>
    <col min="16135" max="16135" width="6.33203125" style="101" customWidth="1"/>
    <col min="16136" max="16136" width="3.33203125" style="101" customWidth="1"/>
    <col min="16137" max="16137" width="6.109375" style="101" customWidth="1"/>
    <col min="16138" max="16138" width="3.109375" style="101" customWidth="1"/>
    <col min="16139" max="16139" width="5.6640625" style="101" customWidth="1"/>
    <col min="16140" max="16140" width="2.88671875" style="101" customWidth="1"/>
    <col min="16141" max="16141" width="5.88671875" style="101" customWidth="1"/>
    <col min="16142" max="16142" width="2.5546875" style="101" customWidth="1"/>
    <col min="16143" max="16143" width="5.6640625" style="101" customWidth="1"/>
    <col min="16144" max="16144" width="2.33203125" style="101" customWidth="1"/>
    <col min="16145" max="16145" width="4.88671875" style="101" customWidth="1"/>
    <col min="16146" max="16146" width="2.109375" style="101" customWidth="1"/>
    <col min="16147" max="16147" width="5.44140625" style="101" customWidth="1"/>
    <col min="16148" max="16148" width="5.88671875" style="101" customWidth="1"/>
    <col min="16149" max="16149" width="5.44140625" style="101" customWidth="1"/>
    <col min="16150" max="16150" width="5.33203125" style="101" customWidth="1"/>
    <col min="16151" max="16151" width="9" style="101" customWidth="1"/>
    <col min="16152" max="16384" width="9.109375" style="101"/>
  </cols>
  <sheetData>
    <row r="1" spans="2:27" x14ac:dyDescent="0.3">
      <c r="B1" s="243"/>
      <c r="C1" s="243"/>
      <c r="D1" s="243"/>
      <c r="E1" s="243"/>
      <c r="F1" s="243"/>
      <c r="G1" s="243"/>
      <c r="H1" s="243"/>
      <c r="I1" s="243"/>
      <c r="J1" s="243"/>
      <c r="K1" s="243"/>
      <c r="L1" s="243"/>
      <c r="M1" s="243"/>
      <c r="N1" s="243"/>
      <c r="O1" s="243"/>
      <c r="P1" s="243"/>
      <c r="Q1" s="243"/>
      <c r="R1" s="243"/>
      <c r="S1" s="243"/>
      <c r="T1" s="243"/>
      <c r="U1" s="243"/>
      <c r="V1" s="243"/>
    </row>
    <row r="2" spans="2:27" x14ac:dyDescent="0.3">
      <c r="B2" s="244"/>
      <c r="C2" s="244"/>
      <c r="D2" s="244"/>
      <c r="E2" s="244"/>
      <c r="F2" s="244"/>
      <c r="G2" s="244"/>
      <c r="H2" s="244"/>
      <c r="I2" s="244"/>
      <c r="J2" s="244"/>
      <c r="K2" s="244"/>
      <c r="L2" s="244"/>
      <c r="M2" s="244"/>
      <c r="N2" s="244"/>
      <c r="O2" s="244"/>
      <c r="P2" s="244"/>
      <c r="Q2" s="244"/>
      <c r="R2" s="244"/>
      <c r="S2" s="244"/>
      <c r="T2" s="244"/>
      <c r="U2" s="243"/>
      <c r="V2" s="243"/>
    </row>
    <row r="3" spans="2:27" ht="23.4" x14ac:dyDescent="0.45">
      <c r="B3" s="606" t="s">
        <v>120</v>
      </c>
      <c r="C3" s="606"/>
      <c r="D3" s="606"/>
      <c r="E3" s="606"/>
      <c r="F3" s="606"/>
      <c r="G3" s="606"/>
      <c r="H3" s="606"/>
      <c r="I3" s="606"/>
      <c r="J3" s="606"/>
      <c r="K3" s="606"/>
      <c r="L3" s="606"/>
      <c r="M3" s="606"/>
      <c r="N3" s="606"/>
      <c r="O3" s="606"/>
      <c r="P3" s="606"/>
      <c r="Q3" s="606"/>
      <c r="R3" s="606"/>
      <c r="S3" s="606"/>
      <c r="T3" s="606"/>
    </row>
    <row r="4" spans="2:27" ht="15" customHeight="1" x14ac:dyDescent="0.3">
      <c r="B4" s="245"/>
      <c r="C4" s="245"/>
      <c r="D4" s="245"/>
      <c r="E4" s="246"/>
      <c r="F4" s="246"/>
      <c r="G4" s="246"/>
      <c r="H4" s="246"/>
      <c r="I4" s="246"/>
      <c r="J4" s="246"/>
      <c r="K4" s="246"/>
      <c r="L4" s="246"/>
      <c r="M4" s="246"/>
      <c r="N4" s="246"/>
      <c r="O4" s="246"/>
      <c r="P4" s="246"/>
      <c r="Q4" s="246"/>
      <c r="R4" s="246"/>
      <c r="S4" s="246"/>
      <c r="T4" s="102"/>
    </row>
    <row r="5" spans="2:27" ht="28.2" customHeight="1" x14ac:dyDescent="0.3">
      <c r="B5" s="247"/>
      <c r="C5" s="247" t="s">
        <v>11</v>
      </c>
      <c r="D5" s="247"/>
      <c r="E5" s="247"/>
      <c r="F5" s="247"/>
      <c r="G5" s="248">
        <f>'Input Sheet'!C25</f>
        <v>8.6602540378443873</v>
      </c>
      <c r="H5" s="247" t="s">
        <v>12</v>
      </c>
      <c r="I5" s="248">
        <f>'Input Sheet'!C24</f>
        <v>2.8867513459481291</v>
      </c>
      <c r="J5" s="249" t="s">
        <v>12</v>
      </c>
      <c r="K5" s="607">
        <f>'Input Sheet'!C14</f>
        <v>2</v>
      </c>
      <c r="L5" s="607"/>
      <c r="M5" s="103" t="s">
        <v>2</v>
      </c>
      <c r="N5" s="103"/>
      <c r="O5" s="103"/>
      <c r="P5" s="103"/>
      <c r="Q5" s="103"/>
      <c r="R5" s="103"/>
      <c r="S5" s="103"/>
      <c r="T5" s="103"/>
    </row>
    <row r="6" spans="2:27" x14ac:dyDescent="0.3">
      <c r="B6" s="247"/>
      <c r="C6" s="247" t="s">
        <v>121</v>
      </c>
      <c r="D6" s="247"/>
      <c r="E6" s="247"/>
      <c r="F6" s="247"/>
      <c r="G6" s="250"/>
      <c r="H6" s="484"/>
      <c r="I6" s="484"/>
      <c r="J6" s="249"/>
      <c r="K6" s="484">
        <f>G5*I5*K5*1000</f>
        <v>50000.000000000007</v>
      </c>
      <c r="L6" s="484"/>
      <c r="M6" s="103" t="s">
        <v>13</v>
      </c>
      <c r="N6" s="252"/>
      <c r="O6" s="103"/>
      <c r="P6" s="103"/>
      <c r="Q6" s="103"/>
      <c r="R6" s="103"/>
      <c r="S6" s="103"/>
      <c r="T6" s="103"/>
    </row>
    <row r="7" spans="2:27" ht="16.2" x14ac:dyDescent="0.3">
      <c r="B7" s="247"/>
      <c r="C7" s="247" t="s">
        <v>122</v>
      </c>
      <c r="D7" s="253"/>
      <c r="E7" s="253"/>
      <c r="F7" s="253"/>
      <c r="G7" s="104">
        <f>'[1]Data sheet'!F8</f>
        <v>17</v>
      </c>
      <c r="H7" s="254" t="s">
        <v>322</v>
      </c>
      <c r="I7" s="103"/>
      <c r="J7" s="103"/>
      <c r="K7" s="600">
        <f>G7*1000</f>
        <v>17000</v>
      </c>
      <c r="L7" s="600"/>
      <c r="M7" s="103" t="s">
        <v>323</v>
      </c>
      <c r="N7" s="103"/>
      <c r="O7" s="103"/>
      <c r="P7" s="103"/>
      <c r="Q7" s="103"/>
      <c r="R7" s="103"/>
      <c r="S7" s="103"/>
      <c r="T7" s="103"/>
    </row>
    <row r="8" spans="2:27" ht="16.2" x14ac:dyDescent="0.3">
      <c r="B8" s="247"/>
      <c r="C8" s="249" t="s">
        <v>123</v>
      </c>
      <c r="D8" s="247"/>
      <c r="E8" s="249" t="s">
        <v>14</v>
      </c>
      <c r="F8" s="248">
        <f>'Input Sheet'!C18</f>
        <v>30</v>
      </c>
      <c r="G8" s="103"/>
      <c r="H8" s="103"/>
      <c r="I8" s="103"/>
      <c r="J8" s="484" t="s">
        <v>126</v>
      </c>
      <c r="K8" s="484"/>
      <c r="L8" s="484"/>
      <c r="M8" s="484"/>
      <c r="N8" s="252" t="s">
        <v>15</v>
      </c>
      <c r="O8" s="103">
        <f>'[1]Data sheet'!J9</f>
        <v>25000</v>
      </c>
      <c r="P8" s="103"/>
      <c r="Q8" s="255" t="s">
        <v>323</v>
      </c>
      <c r="R8" s="103"/>
      <c r="S8" s="103"/>
      <c r="T8" s="103"/>
    </row>
    <row r="9" spans="2:27" ht="16.8" x14ac:dyDescent="0.35">
      <c r="B9" s="247"/>
      <c r="C9" s="247" t="s">
        <v>124</v>
      </c>
      <c r="D9" s="247"/>
      <c r="E9" s="247" t="s">
        <v>324</v>
      </c>
      <c r="F9" s="251">
        <f>'[1]Data sheet'!F11</f>
        <v>415</v>
      </c>
      <c r="G9" s="103" t="s">
        <v>325</v>
      </c>
      <c r="H9" s="103"/>
      <c r="I9" s="103"/>
      <c r="J9" s="484" t="s">
        <v>127</v>
      </c>
      <c r="K9" s="484"/>
      <c r="L9" s="484"/>
      <c r="M9" s="484"/>
      <c r="N9" s="252" t="s">
        <v>15</v>
      </c>
      <c r="O9" s="106">
        <f>'Input Sheet'!F20</f>
        <v>150</v>
      </c>
      <c r="P9" s="103" t="s">
        <v>325</v>
      </c>
      <c r="Q9" s="103"/>
      <c r="R9" s="103"/>
      <c r="S9" s="103"/>
      <c r="T9" s="103"/>
    </row>
    <row r="10" spans="2:27" ht="16.8" x14ac:dyDescent="0.35">
      <c r="B10" s="247"/>
      <c r="C10" s="247"/>
      <c r="D10" s="247"/>
      <c r="E10" s="247" t="s">
        <v>326</v>
      </c>
      <c r="F10" s="251">
        <f>'[1]Data sheet'!F10</f>
        <v>7</v>
      </c>
      <c r="G10" s="103" t="s">
        <v>325</v>
      </c>
      <c r="H10" s="103"/>
      <c r="I10" s="251"/>
      <c r="J10" s="485" t="s">
        <v>2</v>
      </c>
      <c r="K10" s="485"/>
      <c r="L10" s="485"/>
      <c r="M10" s="485"/>
      <c r="N10" s="252" t="s">
        <v>15</v>
      </c>
      <c r="O10" s="106">
        <f>'Input Sheet'!F22</f>
        <v>9.3333333333333339</v>
      </c>
      <c r="P10" s="103"/>
      <c r="Q10" s="103"/>
      <c r="R10" s="103"/>
      <c r="S10" s="103"/>
      <c r="T10" s="103"/>
    </row>
    <row r="11" spans="2:27" ht="16.2" x14ac:dyDescent="0.3">
      <c r="B11" s="247"/>
      <c r="C11" s="247" t="s">
        <v>16</v>
      </c>
      <c r="D11" s="247"/>
      <c r="E11" s="247"/>
      <c r="F11" s="105">
        <v>50</v>
      </c>
      <c r="G11" s="103" t="s">
        <v>17</v>
      </c>
      <c r="H11" s="103"/>
      <c r="I11" s="103"/>
      <c r="J11" s="484" t="s">
        <v>128</v>
      </c>
      <c r="K11" s="484"/>
      <c r="L11" s="484"/>
      <c r="M11" s="484"/>
      <c r="N11" s="107" t="s">
        <v>15</v>
      </c>
      <c r="O11" s="106">
        <f>'Input Sheet'!C17</f>
        <v>9.81</v>
      </c>
      <c r="P11" s="103" t="s">
        <v>327</v>
      </c>
      <c r="Q11" s="103"/>
      <c r="R11" s="103"/>
      <c r="S11" s="600">
        <f>O11*1000</f>
        <v>9810</v>
      </c>
      <c r="T11" s="600"/>
    </row>
    <row r="12" spans="2:27" x14ac:dyDescent="0.3">
      <c r="B12" s="256"/>
      <c r="C12" s="108"/>
      <c r="D12" s="108"/>
      <c r="E12" s="108"/>
      <c r="F12" s="108"/>
      <c r="G12" s="108"/>
      <c r="H12" s="108"/>
      <c r="I12" s="108"/>
      <c r="J12" s="256"/>
      <c r="K12" s="256"/>
      <c r="L12" s="108"/>
      <c r="M12" s="108"/>
      <c r="N12" s="108"/>
      <c r="O12" s="108"/>
      <c r="P12" s="108"/>
      <c r="Q12" s="108"/>
      <c r="R12" s="108"/>
      <c r="S12" s="108"/>
      <c r="T12" s="108"/>
    </row>
    <row r="13" spans="2:27" ht="35.4" customHeight="1" x14ac:dyDescent="0.3">
      <c r="B13" s="605" t="s">
        <v>131</v>
      </c>
      <c r="C13" s="605"/>
      <c r="D13" s="257"/>
      <c r="E13" s="109" t="s">
        <v>18</v>
      </c>
      <c r="F13" s="110"/>
      <c r="G13" s="110"/>
      <c r="H13" s="110"/>
      <c r="I13" s="110"/>
      <c r="J13" s="466" t="s">
        <v>125</v>
      </c>
      <c r="K13" s="466"/>
      <c r="L13" s="112" t="s">
        <v>15</v>
      </c>
      <c r="M13" s="111">
        <f>F8</f>
        <v>30</v>
      </c>
      <c r="N13" s="110"/>
      <c r="O13" s="110"/>
      <c r="P13" s="110"/>
      <c r="Q13" s="110"/>
      <c r="R13" s="110"/>
      <c r="S13" s="110"/>
      <c r="T13" s="110"/>
    </row>
    <row r="14" spans="2:27" ht="16.8" x14ac:dyDescent="0.35">
      <c r="B14" s="110"/>
      <c r="C14" s="258" t="s">
        <v>328</v>
      </c>
      <c r="D14" s="259" t="s">
        <v>15</v>
      </c>
      <c r="E14" s="111">
        <f>O9</f>
        <v>150</v>
      </c>
      <c r="F14" s="110" t="s">
        <v>325</v>
      </c>
      <c r="G14" s="467" t="s">
        <v>129</v>
      </c>
      <c r="H14" s="467"/>
      <c r="I14" s="467"/>
      <c r="J14" s="467"/>
      <c r="K14" s="467"/>
      <c r="L14" s="114" t="s">
        <v>15</v>
      </c>
      <c r="M14" s="466">
        <f>O8</f>
        <v>25000</v>
      </c>
      <c r="N14" s="466"/>
      <c r="O14" s="110" t="s">
        <v>325</v>
      </c>
      <c r="P14" s="110"/>
      <c r="Q14" s="110"/>
      <c r="R14" s="110"/>
      <c r="S14" s="110"/>
      <c r="T14" s="110"/>
    </row>
    <row r="15" spans="2:27" ht="16.8" x14ac:dyDescent="0.35">
      <c r="B15" s="110"/>
      <c r="C15" s="258" t="s">
        <v>329</v>
      </c>
      <c r="D15" s="259" t="s">
        <v>15</v>
      </c>
      <c r="E15" s="111">
        <f>F10</f>
        <v>7</v>
      </c>
      <c r="F15" s="110" t="s">
        <v>325</v>
      </c>
      <c r="G15" s="110"/>
      <c r="H15" s="110"/>
      <c r="I15" s="110"/>
      <c r="J15" s="110"/>
      <c r="K15" s="258" t="s">
        <v>2</v>
      </c>
      <c r="L15" s="259" t="s">
        <v>15</v>
      </c>
      <c r="M15" s="115">
        <f>O10</f>
        <v>9.3333333333333339</v>
      </c>
      <c r="N15" s="110"/>
      <c r="O15" s="110"/>
      <c r="P15" s="110"/>
      <c r="Q15" s="110"/>
      <c r="R15" s="110"/>
      <c r="S15" s="110"/>
      <c r="T15" s="110"/>
      <c r="X15" s="116"/>
      <c r="Y15" s="116"/>
    </row>
    <row r="16" spans="2:27" x14ac:dyDescent="0.3">
      <c r="B16" s="110"/>
      <c r="C16" s="117"/>
      <c r="D16" s="117"/>
      <c r="E16" s="117"/>
      <c r="F16" s="601" t="s">
        <v>15</v>
      </c>
      <c r="G16" s="603">
        <f>M15</f>
        <v>9.3333333333333339</v>
      </c>
      <c r="H16" s="603"/>
      <c r="I16" s="260" t="s">
        <v>130</v>
      </c>
      <c r="J16" s="604">
        <f>E15</f>
        <v>7</v>
      </c>
      <c r="K16" s="604"/>
      <c r="L16" s="601" t="s">
        <v>15</v>
      </c>
      <c r="M16" s="598">
        <f>ROUND(G16*J16/(K17+I17*G17),3)</f>
        <v>0.30299999999999999</v>
      </c>
      <c r="N16" s="598"/>
      <c r="O16" s="110"/>
      <c r="P16" s="110"/>
      <c r="Q16" s="110"/>
      <c r="R16" s="110"/>
      <c r="S16" s="110"/>
      <c r="T16" s="110"/>
      <c r="AA16" s="101" t="s">
        <v>19</v>
      </c>
    </row>
    <row r="17" spans="2:27" x14ac:dyDescent="0.3">
      <c r="B17" s="110"/>
      <c r="C17" s="117"/>
      <c r="D17" s="117"/>
      <c r="E17" s="117"/>
      <c r="F17" s="602"/>
      <c r="G17" s="119">
        <f>M15</f>
        <v>9.3333333333333339</v>
      </c>
      <c r="H17" s="121" t="s">
        <v>130</v>
      </c>
      <c r="I17" s="120">
        <f>E15</f>
        <v>7</v>
      </c>
      <c r="J17" s="118" t="s">
        <v>20</v>
      </c>
      <c r="K17" s="120">
        <f>E14</f>
        <v>150</v>
      </c>
      <c r="L17" s="602"/>
      <c r="M17" s="598"/>
      <c r="N17" s="598"/>
      <c r="O17" s="110"/>
      <c r="P17" s="110"/>
      <c r="Q17" s="110"/>
      <c r="R17" s="110"/>
      <c r="S17" s="110"/>
      <c r="T17" s="110"/>
      <c r="AA17" s="261" t="s">
        <v>21</v>
      </c>
    </row>
    <row r="18" spans="2:27" ht="28.2" customHeight="1" x14ac:dyDescent="0.3">
      <c r="B18" s="110"/>
      <c r="C18" s="117"/>
      <c r="D18" s="262" t="s">
        <v>15</v>
      </c>
      <c r="E18" s="121">
        <v>1</v>
      </c>
      <c r="F18" s="263" t="s">
        <v>22</v>
      </c>
      <c r="G18" s="122">
        <f>M16</f>
        <v>0.30299999999999999</v>
      </c>
      <c r="H18" s="120" t="s">
        <v>23</v>
      </c>
      <c r="I18" s="120">
        <v>3</v>
      </c>
      <c r="J18" s="118"/>
      <c r="K18" s="120"/>
      <c r="L18" s="118" t="s">
        <v>15</v>
      </c>
      <c r="M18" s="598">
        <f>ROUND(1-M16/3,3)</f>
        <v>0.89900000000000002</v>
      </c>
      <c r="N18" s="598"/>
      <c r="O18" s="110"/>
      <c r="P18" s="110"/>
      <c r="Q18" s="110"/>
      <c r="R18" s="110"/>
      <c r="S18" s="110"/>
      <c r="T18" s="110"/>
    </row>
    <row r="19" spans="2:27" ht="28.2" customHeight="1" x14ac:dyDescent="0.3">
      <c r="B19" s="110"/>
      <c r="C19" s="264" t="s">
        <v>98</v>
      </c>
      <c r="D19" s="262" t="s">
        <v>15</v>
      </c>
      <c r="E19" s="121">
        <v>0.5</v>
      </c>
      <c r="F19" s="121" t="s">
        <v>130</v>
      </c>
      <c r="G19" s="120">
        <f>E15</f>
        <v>7</v>
      </c>
      <c r="H19" s="120" t="s">
        <v>130</v>
      </c>
      <c r="I19" s="122">
        <f>M18</f>
        <v>0.89900000000000002</v>
      </c>
      <c r="J19" s="120" t="s">
        <v>130</v>
      </c>
      <c r="K19" s="122">
        <f>M16</f>
        <v>0.30299999999999999</v>
      </c>
      <c r="L19" s="118" t="s">
        <v>15</v>
      </c>
      <c r="M19" s="598">
        <f>ROUND(K19*I19*G19*E19,3)</f>
        <v>0.95299999999999996</v>
      </c>
      <c r="N19" s="598"/>
      <c r="O19" s="110"/>
      <c r="P19" s="110"/>
      <c r="Q19" s="110"/>
      <c r="R19" s="110"/>
      <c r="S19" s="110"/>
      <c r="T19" s="110"/>
    </row>
    <row r="20" spans="2:27" x14ac:dyDescent="0.3">
      <c r="B20" s="108"/>
      <c r="C20" s="265"/>
      <c r="D20" s="266"/>
      <c r="E20" s="123"/>
      <c r="F20" s="123"/>
      <c r="G20" s="123"/>
      <c r="H20" s="123"/>
      <c r="I20" s="124"/>
      <c r="J20" s="123"/>
      <c r="K20" s="124"/>
      <c r="L20" s="125"/>
      <c r="M20" s="267"/>
      <c r="N20" s="267"/>
      <c r="O20" s="108"/>
      <c r="P20" s="108"/>
      <c r="Q20" s="108"/>
      <c r="R20" s="108"/>
      <c r="S20" s="108"/>
      <c r="T20" s="108"/>
    </row>
    <row r="21" spans="2:27" ht="18" x14ac:dyDescent="0.35">
      <c r="B21" s="443"/>
      <c r="C21" s="444" t="s">
        <v>132</v>
      </c>
      <c r="D21" s="445"/>
      <c r="E21" s="446"/>
      <c r="F21" s="446"/>
      <c r="G21" s="447"/>
      <c r="H21" s="448"/>
      <c r="I21" s="449"/>
      <c r="J21" s="449"/>
      <c r="K21" s="127"/>
      <c r="L21" s="271"/>
      <c r="M21" s="271"/>
      <c r="N21" s="127"/>
      <c r="O21" s="127"/>
      <c r="P21" s="127"/>
      <c r="Q21" s="127"/>
      <c r="R21" s="269"/>
      <c r="S21" s="271"/>
      <c r="T21" s="271"/>
    </row>
    <row r="22" spans="2:27" x14ac:dyDescent="0.3">
      <c r="B22" s="127"/>
      <c r="C22" s="272"/>
      <c r="D22" s="268"/>
      <c r="E22" s="269" t="s">
        <v>24</v>
      </c>
      <c r="F22" s="273" t="s">
        <v>15</v>
      </c>
      <c r="G22" s="128">
        <f>G5</f>
        <v>8.6602540378443873</v>
      </c>
      <c r="H22" s="269" t="s">
        <v>23</v>
      </c>
      <c r="I22" s="274">
        <f>I5</f>
        <v>2.8867513459481291</v>
      </c>
      <c r="J22" s="275" t="s">
        <v>15</v>
      </c>
      <c r="K22" s="129">
        <f>G22/I22</f>
        <v>3</v>
      </c>
      <c r="L22" s="276" t="str">
        <f>IF(K22&lt;M22,"&lt;","&gt;")</f>
        <v>&gt;</v>
      </c>
      <c r="M22" s="276">
        <v>2</v>
      </c>
      <c r="N22" s="127"/>
      <c r="O22" s="127"/>
      <c r="P22" s="127"/>
      <c r="Q22" s="127"/>
      <c r="R22" s="269"/>
      <c r="S22" s="271"/>
      <c r="T22" s="271"/>
    </row>
    <row r="23" spans="2:27" x14ac:dyDescent="0.3">
      <c r="B23" s="127"/>
      <c r="C23" s="596" t="str">
        <f>IF(K22&lt;M22,"Hence, Both long and short walls will bend horizontally for upper portion, upto point D, where horizontal water pressure is P=w(H-h)","The long wall will be designed as cantilever.")</f>
        <v>The long wall will be designed as cantilever.</v>
      </c>
      <c r="D23" s="599"/>
      <c r="E23" s="599"/>
      <c r="F23" s="599"/>
      <c r="G23" s="599"/>
      <c r="H23" s="599"/>
      <c r="I23" s="599"/>
      <c r="J23" s="599"/>
      <c r="K23" s="599"/>
      <c r="L23" s="599"/>
      <c r="M23" s="599"/>
      <c r="N23" s="599"/>
      <c r="O23" s="599"/>
      <c r="P23" s="599"/>
      <c r="Q23" s="599"/>
      <c r="R23" s="599"/>
      <c r="S23" s="599"/>
      <c r="T23" s="599"/>
    </row>
    <row r="24" spans="2:27" x14ac:dyDescent="0.3">
      <c r="B24" s="127"/>
      <c r="C24" s="599"/>
      <c r="D24" s="599"/>
      <c r="E24" s="599"/>
      <c r="F24" s="599"/>
      <c r="G24" s="599"/>
      <c r="H24" s="599"/>
      <c r="I24" s="599"/>
      <c r="J24" s="599"/>
      <c r="K24" s="599"/>
      <c r="L24" s="599"/>
      <c r="M24" s="599"/>
      <c r="N24" s="599"/>
      <c r="O24" s="599"/>
      <c r="P24" s="599"/>
      <c r="Q24" s="599"/>
      <c r="R24" s="599"/>
      <c r="S24" s="599"/>
      <c r="T24" s="599"/>
    </row>
    <row r="25" spans="2:27" x14ac:dyDescent="0.3">
      <c r="B25" s="127"/>
      <c r="C25" s="486" t="s">
        <v>133</v>
      </c>
      <c r="D25" s="486"/>
      <c r="E25" s="486"/>
      <c r="F25" s="486"/>
      <c r="G25" s="486"/>
      <c r="H25" s="486"/>
      <c r="I25" s="486"/>
      <c r="J25" s="165" t="s">
        <v>25</v>
      </c>
      <c r="K25" s="130" t="s">
        <v>26</v>
      </c>
      <c r="L25" s="131" t="s">
        <v>15</v>
      </c>
      <c r="M25" s="132">
        <f>IF(K5/3,1)</f>
        <v>1</v>
      </c>
      <c r="N25" s="127" t="s">
        <v>2</v>
      </c>
      <c r="O25" s="127"/>
      <c r="P25" s="127"/>
      <c r="Q25" s="127"/>
      <c r="R25" s="269"/>
      <c r="S25" s="271"/>
      <c r="T25" s="271"/>
    </row>
    <row r="26" spans="2:27" x14ac:dyDescent="0.3">
      <c r="B26" s="127"/>
      <c r="C26" s="595" t="s">
        <v>27</v>
      </c>
      <c r="D26" s="595"/>
      <c r="E26" s="277">
        <f>K5-M25</f>
        <v>1</v>
      </c>
      <c r="F26" s="278" t="s">
        <v>28</v>
      </c>
      <c r="G26" s="127"/>
      <c r="H26" s="270"/>
      <c r="I26" s="271"/>
      <c r="J26" s="271"/>
      <c r="K26" s="127"/>
      <c r="L26" s="271"/>
      <c r="M26" s="271"/>
      <c r="N26" s="127"/>
      <c r="O26" s="127"/>
      <c r="P26" s="127"/>
      <c r="Q26" s="128">
        <f>M25</f>
        <v>1</v>
      </c>
      <c r="R26" s="278" t="s">
        <v>29</v>
      </c>
      <c r="S26" s="271"/>
      <c r="T26" s="271"/>
    </row>
    <row r="27" spans="2:27" ht="12.75" customHeight="1" x14ac:dyDescent="0.3">
      <c r="B27" s="127"/>
      <c r="C27" s="596" t="s">
        <v>30</v>
      </c>
      <c r="D27" s="596"/>
      <c r="E27" s="596"/>
      <c r="F27" s="596"/>
      <c r="G27" s="596"/>
      <c r="H27" s="596"/>
      <c r="I27" s="596"/>
      <c r="J27" s="596"/>
      <c r="K27" s="596"/>
      <c r="L27" s="596"/>
      <c r="M27" s="596"/>
      <c r="N27" s="596"/>
      <c r="O27" s="596"/>
      <c r="P27" s="596"/>
      <c r="Q27" s="596"/>
      <c r="R27" s="596"/>
      <c r="S27" s="596"/>
      <c r="T27" s="596"/>
    </row>
    <row r="28" spans="2:27" x14ac:dyDescent="0.3">
      <c r="B28" s="127"/>
      <c r="C28" s="486" t="s">
        <v>31</v>
      </c>
      <c r="D28" s="486"/>
      <c r="E28" s="486"/>
      <c r="F28" s="486"/>
      <c r="G28" s="486"/>
      <c r="H28" s="486"/>
      <c r="I28" s="486"/>
      <c r="J28" s="486"/>
      <c r="K28" s="486"/>
      <c r="L28" s="486"/>
      <c r="M28" s="486"/>
      <c r="N28" s="486"/>
      <c r="O28" s="486"/>
      <c r="P28" s="486"/>
      <c r="Q28" s="486"/>
      <c r="R28" s="486"/>
      <c r="S28" s="486"/>
      <c r="T28" s="486"/>
    </row>
    <row r="29" spans="2:27" x14ac:dyDescent="0.3">
      <c r="B29" s="127"/>
      <c r="C29" s="268" t="s">
        <v>32</v>
      </c>
      <c r="D29" s="268"/>
      <c r="E29" s="269"/>
      <c r="F29" s="269"/>
      <c r="G29" s="127"/>
      <c r="H29" s="270"/>
      <c r="I29" s="271"/>
      <c r="J29" s="271"/>
      <c r="K29" s="127">
        <f>S11</f>
        <v>9810</v>
      </c>
      <c r="L29" s="271" t="s">
        <v>33</v>
      </c>
      <c r="M29" s="274">
        <f>K5</f>
        <v>2</v>
      </c>
      <c r="N29" s="133" t="s">
        <v>22</v>
      </c>
      <c r="O29" s="129">
        <f>M25</f>
        <v>1</v>
      </c>
      <c r="P29" s="127" t="s">
        <v>34</v>
      </c>
      <c r="Q29" s="597">
        <f>K29*(M29-O29)</f>
        <v>9810</v>
      </c>
      <c r="R29" s="597"/>
      <c r="S29" s="597"/>
      <c r="T29" s="271" t="s">
        <v>35</v>
      </c>
    </row>
    <row r="30" spans="2:27" ht="16.2" x14ac:dyDescent="0.3">
      <c r="B30" s="127"/>
      <c r="C30" s="486" t="s">
        <v>36</v>
      </c>
      <c r="D30" s="486"/>
      <c r="E30" s="486"/>
      <c r="F30" s="486"/>
      <c r="G30" s="486"/>
      <c r="H30" s="540" t="s">
        <v>15</v>
      </c>
      <c r="I30" s="269" t="s">
        <v>330</v>
      </c>
      <c r="J30" s="543" t="s">
        <v>15</v>
      </c>
      <c r="K30" s="136" t="s">
        <v>37</v>
      </c>
      <c r="L30" s="269" t="s">
        <v>12</v>
      </c>
      <c r="M30" s="277">
        <f>G5</f>
        <v>8.6602540378443873</v>
      </c>
      <c r="N30" s="279" t="s">
        <v>331</v>
      </c>
      <c r="O30" s="594">
        <f>M30^2/L31</f>
        <v>6.2500000000000009</v>
      </c>
      <c r="P30" s="544" t="s">
        <v>37</v>
      </c>
      <c r="Q30" s="544" t="s">
        <v>35</v>
      </c>
      <c r="R30" s="134"/>
      <c r="S30" s="134"/>
      <c r="T30" s="271"/>
      <c r="U30" s="110"/>
      <c r="V30" s="110"/>
      <c r="W30" s="110"/>
      <c r="X30" s="110"/>
      <c r="Y30" s="110"/>
      <c r="Z30" s="110"/>
    </row>
    <row r="31" spans="2:27" ht="16.2" x14ac:dyDescent="0.3">
      <c r="B31" s="127"/>
      <c r="C31" s="486"/>
      <c r="D31" s="486"/>
      <c r="E31" s="486"/>
      <c r="F31" s="486"/>
      <c r="G31" s="486"/>
      <c r="H31" s="544"/>
      <c r="I31" s="280">
        <v>12</v>
      </c>
      <c r="J31" s="486"/>
      <c r="K31" s="137"/>
      <c r="L31" s="281">
        <v>12</v>
      </c>
      <c r="M31" s="281"/>
      <c r="N31" s="270"/>
      <c r="O31" s="594"/>
      <c r="P31" s="544"/>
      <c r="Q31" s="544"/>
      <c r="R31" s="134"/>
      <c r="S31" s="134"/>
      <c r="T31" s="271"/>
      <c r="U31" s="593" t="s">
        <v>37</v>
      </c>
      <c r="V31" s="138" t="s">
        <v>332</v>
      </c>
      <c r="W31" s="110"/>
      <c r="X31" s="110"/>
      <c r="Y31" s="110"/>
      <c r="Z31" s="110"/>
    </row>
    <row r="32" spans="2:27" ht="12.75" customHeight="1" x14ac:dyDescent="0.3">
      <c r="B32" s="127"/>
      <c r="C32" s="486" t="s">
        <v>38</v>
      </c>
      <c r="D32" s="486"/>
      <c r="E32" s="486"/>
      <c r="F32" s="486"/>
      <c r="G32" s="486"/>
      <c r="H32" s="540" t="s">
        <v>15</v>
      </c>
      <c r="I32" s="269" t="s">
        <v>333</v>
      </c>
      <c r="J32" s="543" t="s">
        <v>15</v>
      </c>
      <c r="K32" s="136" t="s">
        <v>37</v>
      </c>
      <c r="L32" s="269" t="s">
        <v>12</v>
      </c>
      <c r="M32" s="277">
        <f>I5</f>
        <v>2.8867513459481291</v>
      </c>
      <c r="N32" s="279" t="s">
        <v>331</v>
      </c>
      <c r="O32" s="594">
        <f>M32^2/L33</f>
        <v>0.69444444444444464</v>
      </c>
      <c r="P32" s="544" t="s">
        <v>37</v>
      </c>
      <c r="Q32" s="544" t="s">
        <v>35</v>
      </c>
      <c r="R32" s="269"/>
      <c r="S32" s="271"/>
      <c r="T32" s="271"/>
      <c r="U32" s="593"/>
      <c r="V32" s="139">
        <v>12</v>
      </c>
      <c r="W32" s="110"/>
      <c r="X32" s="110"/>
      <c r="Y32" s="110"/>
      <c r="Z32" s="110"/>
    </row>
    <row r="33" spans="2:26" x14ac:dyDescent="0.3">
      <c r="B33" s="127"/>
      <c r="C33" s="486"/>
      <c r="D33" s="486"/>
      <c r="E33" s="486"/>
      <c r="F33" s="486"/>
      <c r="G33" s="486"/>
      <c r="H33" s="544"/>
      <c r="I33" s="280">
        <v>12</v>
      </c>
      <c r="J33" s="486"/>
      <c r="K33" s="137"/>
      <c r="L33" s="281">
        <v>12</v>
      </c>
      <c r="M33" s="281"/>
      <c r="N33" s="270"/>
      <c r="O33" s="594"/>
      <c r="P33" s="544"/>
      <c r="Q33" s="544"/>
      <c r="R33" s="269"/>
      <c r="S33" s="271"/>
      <c r="T33" s="271"/>
      <c r="U33" s="113" t="s">
        <v>39</v>
      </c>
      <c r="V33" s="110"/>
      <c r="W33" s="110"/>
      <c r="X33" s="110" t="s">
        <v>40</v>
      </c>
      <c r="Y33" s="110"/>
      <c r="Z33" s="110" t="s">
        <v>41</v>
      </c>
    </row>
    <row r="34" spans="2:26" x14ac:dyDescent="0.3">
      <c r="B34" s="127"/>
      <c r="C34" s="268" t="s">
        <v>334</v>
      </c>
      <c r="D34" s="268"/>
      <c r="E34" s="269"/>
      <c r="F34" s="269"/>
      <c r="G34" s="127"/>
      <c r="H34" s="270"/>
      <c r="I34" s="271"/>
      <c r="J34" s="271"/>
      <c r="K34" s="127"/>
      <c r="L34" s="271"/>
      <c r="M34" s="271"/>
      <c r="N34" s="127"/>
      <c r="O34" s="127"/>
      <c r="P34" s="127"/>
      <c r="Q34" s="127"/>
      <c r="R34" s="269"/>
      <c r="S34" s="271"/>
      <c r="T34" s="271"/>
      <c r="U34" s="110"/>
      <c r="V34" s="140"/>
      <c r="W34" s="141"/>
      <c r="X34" s="141"/>
      <c r="Y34" s="142"/>
      <c r="Z34" s="110"/>
    </row>
    <row r="35" spans="2:26" ht="15.6" x14ac:dyDescent="0.3">
      <c r="B35" s="127"/>
      <c r="C35" s="268" t="s">
        <v>335</v>
      </c>
      <c r="D35" s="268"/>
      <c r="E35" s="269"/>
      <c r="F35" s="269"/>
      <c r="G35" s="127"/>
      <c r="H35" s="270"/>
      <c r="I35" s="271"/>
      <c r="J35" s="271"/>
      <c r="K35" s="127"/>
      <c r="L35" s="271"/>
      <c r="M35" s="271"/>
      <c r="N35" s="133" t="s">
        <v>20</v>
      </c>
      <c r="O35" s="128">
        <f>O30</f>
        <v>6.2500000000000009</v>
      </c>
      <c r="P35" s="127" t="s">
        <v>37</v>
      </c>
      <c r="Q35" s="127" t="s">
        <v>42</v>
      </c>
      <c r="R35" s="269"/>
      <c r="S35" s="271"/>
      <c r="T35" s="271"/>
      <c r="U35" s="110"/>
      <c r="V35" s="143"/>
      <c r="W35" s="110"/>
      <c r="X35" s="144" t="s">
        <v>43</v>
      </c>
      <c r="Y35" s="145"/>
      <c r="Z35" s="110"/>
    </row>
    <row r="36" spans="2:26" ht="15.6" x14ac:dyDescent="0.3">
      <c r="B36" s="127"/>
      <c r="C36" s="268" t="s">
        <v>336</v>
      </c>
      <c r="D36" s="268"/>
      <c r="E36" s="127"/>
      <c r="F36" s="269"/>
      <c r="G36" s="127"/>
      <c r="H36" s="146" t="s">
        <v>22</v>
      </c>
      <c r="I36" s="129">
        <f>O32</f>
        <v>0.69444444444444464</v>
      </c>
      <c r="J36" s="127" t="s">
        <v>37</v>
      </c>
      <c r="K36" s="127" t="s">
        <v>337</v>
      </c>
      <c r="L36" s="271"/>
      <c r="M36" s="271"/>
      <c r="N36" s="127"/>
      <c r="O36" s="127"/>
      <c r="P36" s="127"/>
      <c r="Q36" s="127"/>
      <c r="R36" s="269"/>
      <c r="S36" s="271"/>
      <c r="T36" s="271"/>
      <c r="U36" s="110"/>
      <c r="V36" s="143"/>
      <c r="W36" s="110"/>
      <c r="X36" s="110"/>
      <c r="Y36" s="145"/>
      <c r="Z36" s="110"/>
    </row>
    <row r="37" spans="2:26" x14ac:dyDescent="0.3">
      <c r="B37" s="127"/>
      <c r="C37" s="268" t="s">
        <v>44</v>
      </c>
      <c r="D37" s="268"/>
      <c r="E37" s="269"/>
      <c r="F37" s="269"/>
      <c r="G37" s="127"/>
      <c r="H37" s="270"/>
      <c r="I37" s="271"/>
      <c r="J37" s="271"/>
      <c r="K37" s="127"/>
      <c r="L37" s="271"/>
      <c r="M37" s="271"/>
      <c r="N37" s="127"/>
      <c r="O37" s="127"/>
      <c r="P37" s="127"/>
      <c r="Q37" s="127"/>
      <c r="R37" s="269"/>
      <c r="S37" s="127"/>
      <c r="T37" s="271"/>
      <c r="U37" s="110"/>
      <c r="V37" s="143"/>
      <c r="W37" s="110"/>
      <c r="X37" s="110"/>
      <c r="Y37" s="145"/>
      <c r="Z37" s="110"/>
    </row>
    <row r="38" spans="2:26" x14ac:dyDescent="0.3">
      <c r="B38" s="127"/>
      <c r="C38" s="272"/>
      <c r="D38" s="268"/>
      <c r="E38" s="269"/>
      <c r="F38" s="271" t="s">
        <v>134</v>
      </c>
      <c r="G38" s="127"/>
      <c r="H38" s="270"/>
      <c r="I38" s="271"/>
      <c r="J38" s="271"/>
      <c r="K38" s="127"/>
      <c r="L38" s="271"/>
      <c r="M38" s="271"/>
      <c r="N38" s="127"/>
      <c r="O38" s="127"/>
      <c r="P38" s="127"/>
      <c r="Q38" s="127"/>
      <c r="R38" s="269"/>
      <c r="S38" s="271"/>
      <c r="T38" s="271"/>
      <c r="U38" s="113" t="s">
        <v>45</v>
      </c>
      <c r="V38" s="143"/>
      <c r="W38" s="110"/>
      <c r="X38" s="110"/>
      <c r="Y38" s="145"/>
      <c r="Z38" s="138" t="s">
        <v>46</v>
      </c>
    </row>
    <row r="39" spans="2:26" x14ac:dyDescent="0.3">
      <c r="B39" s="108"/>
      <c r="C39" s="582" t="s">
        <v>47</v>
      </c>
      <c r="D39" s="582"/>
      <c r="E39" s="282" t="s">
        <v>48</v>
      </c>
      <c r="F39" s="283"/>
      <c r="G39" s="583" t="s">
        <v>49</v>
      </c>
      <c r="H39" s="583"/>
      <c r="I39" s="583"/>
      <c r="J39" s="583"/>
      <c r="K39" s="584"/>
      <c r="L39" s="585" t="s">
        <v>50</v>
      </c>
      <c r="M39" s="586"/>
      <c r="N39" s="587"/>
      <c r="O39" s="588" t="s">
        <v>51</v>
      </c>
      <c r="P39" s="588"/>
      <c r="Q39" s="588"/>
      <c r="R39" s="588"/>
      <c r="S39" s="588"/>
      <c r="T39" s="284"/>
      <c r="U39" s="110"/>
      <c r="V39" s="147" t="s">
        <v>43</v>
      </c>
      <c r="W39" s="110"/>
      <c r="X39" s="110"/>
      <c r="Y39" s="148" t="s">
        <v>43</v>
      </c>
      <c r="Z39" s="110"/>
    </row>
    <row r="40" spans="2:26" x14ac:dyDescent="0.3">
      <c r="B40" s="108"/>
      <c r="C40" s="548" t="s">
        <v>52</v>
      </c>
      <c r="D40" s="558"/>
      <c r="E40" s="572">
        <v>1</v>
      </c>
      <c r="F40" s="558"/>
      <c r="G40" s="287">
        <v>1</v>
      </c>
      <c r="H40" s="558" t="s">
        <v>12</v>
      </c>
      <c r="I40" s="560">
        <f>G5</f>
        <v>8.6602540378443873</v>
      </c>
      <c r="J40" s="590" t="s">
        <v>15</v>
      </c>
      <c r="K40" s="580">
        <f>G40*I40/G41</f>
        <v>2.8867513459481291</v>
      </c>
      <c r="L40" s="572">
        <f>K40+K42</f>
        <v>7.2168783648703227</v>
      </c>
      <c r="M40" s="558"/>
      <c r="N40" s="573"/>
      <c r="O40" s="149">
        <f>K40</f>
        <v>2.8867513459481291</v>
      </c>
      <c r="P40" s="559" t="s">
        <v>15</v>
      </c>
      <c r="Q40" s="545">
        <f>O40/O41</f>
        <v>0.4</v>
      </c>
      <c r="R40" s="545"/>
      <c r="S40" s="288"/>
      <c r="T40" s="284"/>
      <c r="U40" s="110"/>
      <c r="V40" s="143"/>
      <c r="W40" s="110"/>
      <c r="X40" s="110"/>
      <c r="Y40" s="145"/>
      <c r="Z40" s="110"/>
    </row>
    <row r="41" spans="2:26" x14ac:dyDescent="0.3">
      <c r="B41" s="108"/>
      <c r="C41" s="567"/>
      <c r="D41" s="557"/>
      <c r="E41" s="567">
        <v>3</v>
      </c>
      <c r="F41" s="557"/>
      <c r="G41" s="291">
        <v>3</v>
      </c>
      <c r="H41" s="575"/>
      <c r="I41" s="589"/>
      <c r="J41" s="591"/>
      <c r="K41" s="592"/>
      <c r="L41" s="574"/>
      <c r="M41" s="575"/>
      <c r="N41" s="576"/>
      <c r="O41" s="150">
        <f>L40</f>
        <v>7.2168783648703227</v>
      </c>
      <c r="P41" s="546"/>
      <c r="Q41" s="546"/>
      <c r="R41" s="546"/>
      <c r="S41" s="292"/>
      <c r="T41" s="284"/>
      <c r="U41" s="110"/>
      <c r="V41" s="143"/>
      <c r="W41" s="110"/>
      <c r="X41" s="110" t="s">
        <v>43</v>
      </c>
      <c r="Y41" s="145"/>
      <c r="Z41" s="110"/>
    </row>
    <row r="42" spans="2:26" x14ac:dyDescent="0.3">
      <c r="B42" s="108"/>
      <c r="C42" s="548" t="s">
        <v>53</v>
      </c>
      <c r="D42" s="577"/>
      <c r="E42" s="572">
        <v>1</v>
      </c>
      <c r="F42" s="573"/>
      <c r="G42" s="286">
        <v>1</v>
      </c>
      <c r="H42" s="558" t="s">
        <v>12</v>
      </c>
      <c r="I42" s="556">
        <f>I40</f>
        <v>8.6602540378443873</v>
      </c>
      <c r="J42" s="554" t="s">
        <v>15</v>
      </c>
      <c r="K42" s="580">
        <f>G42*I42/G43</f>
        <v>4.3301270189221936</v>
      </c>
      <c r="L42" s="574"/>
      <c r="M42" s="575"/>
      <c r="N42" s="576"/>
      <c r="O42" s="149">
        <f>K42</f>
        <v>4.3301270189221936</v>
      </c>
      <c r="P42" s="559" t="s">
        <v>15</v>
      </c>
      <c r="Q42" s="545">
        <f>O42/O43</f>
        <v>0.6</v>
      </c>
      <c r="R42" s="545"/>
      <c r="S42" s="288"/>
      <c r="T42" s="284"/>
      <c r="U42" s="110"/>
      <c r="V42" s="151"/>
      <c r="W42" s="152"/>
      <c r="X42" s="152"/>
      <c r="Y42" s="153"/>
      <c r="Z42" s="110"/>
    </row>
    <row r="43" spans="2:26" x14ac:dyDescent="0.3">
      <c r="B43" s="108"/>
      <c r="C43" s="578"/>
      <c r="D43" s="579"/>
      <c r="E43" s="567">
        <v>2</v>
      </c>
      <c r="F43" s="568"/>
      <c r="G43" s="289">
        <v>2</v>
      </c>
      <c r="H43" s="555"/>
      <c r="I43" s="557"/>
      <c r="J43" s="557"/>
      <c r="K43" s="581"/>
      <c r="L43" s="567"/>
      <c r="M43" s="557"/>
      <c r="N43" s="568"/>
      <c r="O43" s="150">
        <f>L40</f>
        <v>7.2168783648703227</v>
      </c>
      <c r="P43" s="546"/>
      <c r="Q43" s="546"/>
      <c r="R43" s="546"/>
      <c r="S43" s="292"/>
      <c r="T43" s="284"/>
      <c r="U43" s="113" t="s">
        <v>54</v>
      </c>
      <c r="V43" s="110"/>
      <c r="W43" s="110"/>
      <c r="X43" s="154" t="s">
        <v>55</v>
      </c>
      <c r="Y43" s="110"/>
      <c r="Z43" s="110" t="s">
        <v>56</v>
      </c>
    </row>
    <row r="44" spans="2:26" x14ac:dyDescent="0.3">
      <c r="B44" s="108"/>
      <c r="C44" s="293"/>
      <c r="D44" s="294"/>
      <c r="E44" s="295"/>
      <c r="F44" s="284"/>
      <c r="G44" s="108"/>
      <c r="H44" s="296"/>
      <c r="I44" s="284"/>
      <c r="J44" s="284"/>
      <c r="K44" s="108"/>
      <c r="L44" s="284"/>
      <c r="M44" s="284"/>
      <c r="N44" s="108"/>
      <c r="O44" s="108"/>
      <c r="P44" s="108"/>
      <c r="Q44" s="108"/>
      <c r="R44" s="295"/>
      <c r="S44" s="284"/>
      <c r="T44" s="284"/>
      <c r="U44" s="110"/>
      <c r="V44" s="110"/>
      <c r="W44" s="110"/>
      <c r="X44" s="110" t="s">
        <v>57</v>
      </c>
      <c r="Y44" s="110"/>
      <c r="Z44" s="110"/>
    </row>
    <row r="45" spans="2:26" x14ac:dyDescent="0.3">
      <c r="B45" s="108"/>
      <c r="C45" s="293"/>
      <c r="D45" s="294"/>
      <c r="E45" s="155" t="s">
        <v>135</v>
      </c>
      <c r="F45" s="284"/>
      <c r="G45" s="108"/>
      <c r="H45" s="296"/>
      <c r="I45" s="284"/>
      <c r="J45" s="284"/>
      <c r="K45" s="108"/>
      <c r="L45" s="284"/>
      <c r="M45" s="284"/>
      <c r="N45" s="108"/>
      <c r="O45" s="108"/>
      <c r="P45" s="108"/>
      <c r="Q45" s="108"/>
      <c r="R45" s="295"/>
      <c r="S45" s="284"/>
      <c r="T45" s="284"/>
      <c r="U45" s="110"/>
      <c r="V45" s="110"/>
      <c r="W45" s="110"/>
      <c r="X45" s="110"/>
      <c r="Y45" s="110"/>
      <c r="Z45" s="110"/>
    </row>
    <row r="46" spans="2:26" x14ac:dyDescent="0.3">
      <c r="B46" s="108"/>
      <c r="C46" s="561" t="s">
        <v>58</v>
      </c>
      <c r="D46" s="562"/>
      <c r="E46" s="562"/>
      <c r="F46" s="563"/>
      <c r="G46" s="564" t="s">
        <v>39</v>
      </c>
      <c r="H46" s="565"/>
      <c r="I46" s="565"/>
      <c r="J46" s="565"/>
      <c r="K46" s="565"/>
      <c r="L46" s="565"/>
      <c r="M46" s="565"/>
      <c r="N46" s="565"/>
      <c r="O46" s="565"/>
      <c r="P46" s="565"/>
      <c r="Q46" s="565"/>
      <c r="R46" s="565"/>
      <c r="S46" s="566"/>
      <c r="T46" s="284"/>
      <c r="U46" s="110"/>
      <c r="V46" s="110"/>
      <c r="W46" s="110"/>
      <c r="X46" s="110"/>
      <c r="Y46" s="110"/>
      <c r="Z46" s="110"/>
    </row>
    <row r="47" spans="2:26" x14ac:dyDescent="0.3">
      <c r="B47" s="108"/>
      <c r="C47" s="561" t="s">
        <v>47</v>
      </c>
      <c r="D47" s="562"/>
      <c r="E47" s="562"/>
      <c r="F47" s="563"/>
      <c r="G47" s="569" t="s">
        <v>52</v>
      </c>
      <c r="H47" s="570"/>
      <c r="I47" s="570"/>
      <c r="J47" s="570"/>
      <c r="K47" s="571"/>
      <c r="L47" s="569" t="s">
        <v>53</v>
      </c>
      <c r="M47" s="570"/>
      <c r="N47" s="570"/>
      <c r="O47" s="570"/>
      <c r="P47" s="570"/>
      <c r="Q47" s="570"/>
      <c r="R47" s="570"/>
      <c r="S47" s="571"/>
      <c r="T47" s="284"/>
      <c r="U47" s="110"/>
      <c r="V47" s="110"/>
      <c r="W47" s="110"/>
      <c r="X47" s="110"/>
      <c r="Y47" s="110"/>
      <c r="Z47" s="110"/>
    </row>
    <row r="48" spans="2:26" x14ac:dyDescent="0.3">
      <c r="B48" s="108"/>
      <c r="C48" s="561" t="s">
        <v>51</v>
      </c>
      <c r="D48" s="562"/>
      <c r="E48" s="562"/>
      <c r="F48" s="563"/>
      <c r="G48" s="564">
        <f>Q40</f>
        <v>0.4</v>
      </c>
      <c r="H48" s="565"/>
      <c r="I48" s="565"/>
      <c r="J48" s="565"/>
      <c r="K48" s="566"/>
      <c r="L48" s="297"/>
      <c r="M48" s="298"/>
      <c r="N48" s="156"/>
      <c r="O48" s="156">
        <f>Q42</f>
        <v>0.6</v>
      </c>
      <c r="P48" s="156"/>
      <c r="Q48" s="156"/>
      <c r="R48" s="299"/>
      <c r="S48" s="300"/>
      <c r="T48" s="284"/>
    </row>
    <row r="49" spans="2:20" x14ac:dyDescent="0.3">
      <c r="B49" s="108"/>
      <c r="C49" s="548" t="s">
        <v>59</v>
      </c>
      <c r="D49" s="549"/>
      <c r="E49" s="549"/>
      <c r="F49" s="550"/>
      <c r="G49" s="157"/>
      <c r="H49" s="554" t="s">
        <v>20</v>
      </c>
      <c r="I49" s="556">
        <f>O35</f>
        <v>6.2500000000000009</v>
      </c>
      <c r="J49" s="558" t="s">
        <v>43</v>
      </c>
      <c r="K49" s="158"/>
      <c r="L49" s="301"/>
      <c r="M49" s="302"/>
      <c r="N49" s="559" t="s">
        <v>22</v>
      </c>
      <c r="O49" s="560">
        <f>O32</f>
        <v>0.69444444444444464</v>
      </c>
      <c r="P49" s="545" t="s">
        <v>43</v>
      </c>
      <c r="Q49" s="159"/>
      <c r="R49" s="285"/>
      <c r="S49" s="288"/>
      <c r="T49" s="284"/>
    </row>
    <row r="50" spans="2:20" x14ac:dyDescent="0.3">
      <c r="B50" s="108"/>
      <c r="C50" s="551"/>
      <c r="D50" s="552"/>
      <c r="E50" s="552"/>
      <c r="F50" s="553"/>
      <c r="G50" s="160"/>
      <c r="H50" s="555"/>
      <c r="I50" s="557"/>
      <c r="J50" s="557"/>
      <c r="K50" s="161"/>
      <c r="L50" s="303"/>
      <c r="M50" s="304"/>
      <c r="N50" s="546"/>
      <c r="O50" s="546"/>
      <c r="P50" s="546"/>
      <c r="Q50" s="162"/>
      <c r="R50" s="290"/>
      <c r="S50" s="292"/>
      <c r="T50" s="284"/>
    </row>
    <row r="51" spans="2:20" x14ac:dyDescent="0.3">
      <c r="B51" s="108"/>
      <c r="C51" s="548" t="s">
        <v>60</v>
      </c>
      <c r="D51" s="549"/>
      <c r="E51" s="549"/>
      <c r="F51" s="550"/>
      <c r="G51" s="157"/>
      <c r="H51" s="554" t="s">
        <v>22</v>
      </c>
      <c r="I51" s="558">
        <f>2/3</f>
        <v>0.66666666666666663</v>
      </c>
      <c r="J51" s="558" t="s">
        <v>43</v>
      </c>
      <c r="K51" s="158"/>
      <c r="L51" s="301"/>
      <c r="M51" s="302"/>
      <c r="N51" s="559" t="s">
        <v>22</v>
      </c>
      <c r="O51" s="545">
        <v>1</v>
      </c>
      <c r="P51" s="545" t="s">
        <v>43</v>
      </c>
      <c r="Q51" s="159"/>
      <c r="R51" s="285"/>
      <c r="S51" s="288"/>
      <c r="T51" s="284"/>
    </row>
    <row r="52" spans="2:20" x14ac:dyDescent="0.3">
      <c r="B52" s="108"/>
      <c r="C52" s="551"/>
      <c r="D52" s="552"/>
      <c r="E52" s="552"/>
      <c r="F52" s="553"/>
      <c r="G52" s="160"/>
      <c r="H52" s="555"/>
      <c r="I52" s="557"/>
      <c r="J52" s="557"/>
      <c r="K52" s="161"/>
      <c r="L52" s="303"/>
      <c r="M52" s="304"/>
      <c r="N52" s="546"/>
      <c r="O52" s="546"/>
      <c r="P52" s="546"/>
      <c r="Q52" s="162"/>
      <c r="R52" s="290"/>
      <c r="S52" s="292"/>
      <c r="T52" s="284"/>
    </row>
    <row r="53" spans="2:20" x14ac:dyDescent="0.3">
      <c r="B53" s="108"/>
      <c r="C53" s="548" t="s">
        <v>61</v>
      </c>
      <c r="D53" s="549"/>
      <c r="E53" s="549"/>
      <c r="F53" s="550"/>
      <c r="G53" s="157"/>
      <c r="H53" s="554" t="s">
        <v>20</v>
      </c>
      <c r="I53" s="556">
        <f>I49-I51</f>
        <v>5.5833333333333339</v>
      </c>
      <c r="J53" s="558" t="s">
        <v>43</v>
      </c>
      <c r="K53" s="158"/>
      <c r="L53" s="301"/>
      <c r="M53" s="302"/>
      <c r="N53" s="559" t="s">
        <v>22</v>
      </c>
      <c r="O53" s="560">
        <f>O51+O49</f>
        <v>1.6944444444444446</v>
      </c>
      <c r="P53" s="545" t="s">
        <v>43</v>
      </c>
      <c r="Q53" s="159"/>
      <c r="R53" s="285"/>
      <c r="S53" s="288"/>
      <c r="T53" s="284"/>
    </row>
    <row r="54" spans="2:20" x14ac:dyDescent="0.3">
      <c r="B54" s="108"/>
      <c r="C54" s="551"/>
      <c r="D54" s="552"/>
      <c r="E54" s="552"/>
      <c r="F54" s="553"/>
      <c r="G54" s="160"/>
      <c r="H54" s="555"/>
      <c r="I54" s="557"/>
      <c r="J54" s="557"/>
      <c r="K54" s="161"/>
      <c r="L54" s="303"/>
      <c r="M54" s="304"/>
      <c r="N54" s="546"/>
      <c r="O54" s="546"/>
      <c r="P54" s="546"/>
      <c r="Q54" s="162"/>
      <c r="R54" s="290"/>
      <c r="S54" s="292"/>
      <c r="T54" s="284"/>
    </row>
    <row r="55" spans="2:20" x14ac:dyDescent="0.3">
      <c r="B55" s="305"/>
      <c r="C55" s="293"/>
      <c r="D55" s="294"/>
      <c r="E55" s="295"/>
      <c r="F55" s="284"/>
      <c r="G55" s="108"/>
      <c r="H55" s="296"/>
      <c r="I55" s="284"/>
      <c r="J55" s="284"/>
      <c r="K55" s="108"/>
      <c r="L55" s="284"/>
      <c r="M55" s="284"/>
      <c r="N55" s="108"/>
      <c r="O55" s="108"/>
      <c r="P55" s="108"/>
      <c r="Q55" s="108"/>
      <c r="R55" s="295"/>
      <c r="S55" s="284"/>
      <c r="T55" s="284"/>
    </row>
    <row r="56" spans="2:20" x14ac:dyDescent="0.3">
      <c r="B56" s="127"/>
      <c r="C56" s="272"/>
      <c r="D56" s="127"/>
      <c r="E56" s="486" t="s">
        <v>62</v>
      </c>
      <c r="F56" s="486"/>
      <c r="G56" s="486"/>
      <c r="H56" s="486"/>
      <c r="I56" s="486"/>
      <c r="J56" s="486"/>
      <c r="K56" s="128">
        <f>I53</f>
        <v>5.5833333333333339</v>
      </c>
      <c r="L56" s="271" t="s">
        <v>12</v>
      </c>
      <c r="M56" s="271">
        <f>Q29</f>
        <v>9810</v>
      </c>
      <c r="N56" s="133" t="s">
        <v>15</v>
      </c>
      <c r="O56" s="547">
        <f>ROUND(M56*K56,)</f>
        <v>54773</v>
      </c>
      <c r="P56" s="547"/>
      <c r="Q56" s="127" t="s">
        <v>63</v>
      </c>
      <c r="R56" s="269"/>
      <c r="S56" s="271"/>
      <c r="T56" s="271"/>
    </row>
    <row r="57" spans="2:20" x14ac:dyDescent="0.3">
      <c r="B57" s="127"/>
      <c r="C57" s="272"/>
      <c r="D57" s="268"/>
      <c r="E57" s="269"/>
      <c r="F57" s="271" t="s">
        <v>64</v>
      </c>
      <c r="G57" s="127"/>
      <c r="H57" s="270"/>
      <c r="I57" s="271"/>
      <c r="J57" s="271"/>
      <c r="K57" s="127"/>
      <c r="L57" s="271"/>
      <c r="M57" s="271"/>
      <c r="N57" s="127"/>
      <c r="O57" s="127"/>
      <c r="P57" s="127"/>
      <c r="Q57" s="127"/>
      <c r="R57" s="269"/>
      <c r="S57" s="271"/>
      <c r="T57" s="271"/>
    </row>
    <row r="58" spans="2:20" ht="16.2" x14ac:dyDescent="0.3">
      <c r="B58" s="127"/>
      <c r="C58" s="486" t="s">
        <v>65</v>
      </c>
      <c r="D58" s="486"/>
      <c r="E58" s="486"/>
      <c r="F58" s="486"/>
      <c r="G58" s="163" t="s">
        <v>338</v>
      </c>
      <c r="H58" s="543" t="s">
        <v>22</v>
      </c>
      <c r="I58" s="486" t="s">
        <v>66</v>
      </c>
      <c r="J58" s="486" t="s">
        <v>67</v>
      </c>
      <c r="K58" s="127">
        <f>M56</f>
        <v>9810</v>
      </c>
      <c r="L58" s="271" t="s">
        <v>12</v>
      </c>
      <c r="M58" s="306">
        <f>G5</f>
        <v>8.6602540378443873</v>
      </c>
      <c r="N58" s="307" t="s">
        <v>68</v>
      </c>
      <c r="O58" s="544">
        <f>O56</f>
        <v>54773</v>
      </c>
      <c r="P58" s="544"/>
      <c r="Q58" s="540" t="s">
        <v>15</v>
      </c>
      <c r="R58" s="486">
        <f>ROUND((K58*M58^2/K59)-O58,)</f>
        <v>37196</v>
      </c>
      <c r="S58" s="486"/>
      <c r="T58" s="541" t="s">
        <v>63</v>
      </c>
    </row>
    <row r="59" spans="2:20" x14ac:dyDescent="0.3">
      <c r="B59" s="127"/>
      <c r="C59" s="486"/>
      <c r="D59" s="486"/>
      <c r="E59" s="486"/>
      <c r="F59" s="486"/>
      <c r="G59" s="164">
        <v>8</v>
      </c>
      <c r="H59" s="543"/>
      <c r="I59" s="486"/>
      <c r="J59" s="486"/>
      <c r="K59" s="542">
        <v>8</v>
      </c>
      <c r="L59" s="542"/>
      <c r="M59" s="542"/>
      <c r="N59" s="127"/>
      <c r="O59" s="544"/>
      <c r="P59" s="544"/>
      <c r="Q59" s="540"/>
      <c r="R59" s="486"/>
      <c r="S59" s="486"/>
      <c r="T59" s="541"/>
    </row>
    <row r="60" spans="2:20" x14ac:dyDescent="0.3">
      <c r="B60" s="127"/>
      <c r="C60" s="272"/>
      <c r="D60" s="268"/>
      <c r="E60" s="269"/>
      <c r="F60" s="271" t="s">
        <v>69</v>
      </c>
      <c r="G60" s="127"/>
      <c r="H60" s="270"/>
      <c r="I60" s="271"/>
      <c r="J60" s="271"/>
      <c r="K60" s="127"/>
      <c r="L60" s="271"/>
      <c r="M60" s="271"/>
      <c r="N60" s="127"/>
      <c r="O60" s="127"/>
      <c r="P60" s="127"/>
      <c r="Q60" s="127"/>
      <c r="R60" s="269"/>
      <c r="S60" s="271"/>
      <c r="T60" s="308"/>
    </row>
    <row r="61" spans="2:20" ht="16.2" x14ac:dyDescent="0.3">
      <c r="B61" s="127"/>
      <c r="C61" s="486" t="s">
        <v>70</v>
      </c>
      <c r="D61" s="486"/>
      <c r="E61" s="486"/>
      <c r="F61" s="486"/>
      <c r="G61" s="163" t="s">
        <v>339</v>
      </c>
      <c r="H61" s="543" t="s">
        <v>22</v>
      </c>
      <c r="I61" s="486" t="s">
        <v>66</v>
      </c>
      <c r="J61" s="486" t="s">
        <v>67</v>
      </c>
      <c r="K61" s="127">
        <f>K58</f>
        <v>9810</v>
      </c>
      <c r="L61" s="271" t="s">
        <v>12</v>
      </c>
      <c r="M61" s="306">
        <f>I5</f>
        <v>2.8867513459481291</v>
      </c>
      <c r="N61" s="307" t="s">
        <v>68</v>
      </c>
      <c r="O61" s="544">
        <f>O58</f>
        <v>54773</v>
      </c>
      <c r="P61" s="544"/>
      <c r="Q61" s="540" t="s">
        <v>15</v>
      </c>
      <c r="R61" s="486">
        <f>ROUND((K61*M61^2/K62)-O61,)</f>
        <v>-44554</v>
      </c>
      <c r="S61" s="486"/>
      <c r="T61" s="541" t="s">
        <v>63</v>
      </c>
    </row>
    <row r="62" spans="2:20" x14ac:dyDescent="0.3">
      <c r="B62" s="127"/>
      <c r="C62" s="486"/>
      <c r="D62" s="486"/>
      <c r="E62" s="486"/>
      <c r="F62" s="486"/>
      <c r="G62" s="164">
        <v>8</v>
      </c>
      <c r="H62" s="543"/>
      <c r="I62" s="486"/>
      <c r="J62" s="486"/>
      <c r="K62" s="542">
        <v>8</v>
      </c>
      <c r="L62" s="542"/>
      <c r="M62" s="542"/>
      <c r="N62" s="127"/>
      <c r="O62" s="544"/>
      <c r="P62" s="544"/>
      <c r="Q62" s="540"/>
      <c r="R62" s="486"/>
      <c r="S62" s="486"/>
      <c r="T62" s="541"/>
    </row>
    <row r="63" spans="2:20" ht="30.6" customHeight="1" x14ac:dyDescent="0.3">
      <c r="B63" s="127"/>
      <c r="C63" s="127"/>
      <c r="D63" s="127"/>
      <c r="E63" s="268" t="s">
        <v>306</v>
      </c>
      <c r="F63" s="271"/>
      <c r="G63" s="127"/>
      <c r="H63" s="270"/>
      <c r="I63" s="271"/>
      <c r="J63" s="271"/>
      <c r="K63" s="126"/>
      <c r="L63" s="127"/>
      <c r="M63" s="127"/>
      <c r="N63" s="127"/>
      <c r="O63" s="127"/>
      <c r="P63" s="127"/>
      <c r="Q63" s="135" t="s">
        <v>15</v>
      </c>
      <c r="R63" s="532">
        <f>MAX(R58,R61)</f>
        <v>37196</v>
      </c>
      <c r="S63" s="532"/>
      <c r="T63" s="166" t="s">
        <v>63</v>
      </c>
    </row>
    <row r="64" spans="2:20" x14ac:dyDescent="0.3">
      <c r="B64" s="108"/>
      <c r="C64" s="293"/>
      <c r="D64" s="294"/>
      <c r="E64" s="295"/>
      <c r="F64" s="284"/>
      <c r="G64" s="108"/>
      <c r="H64" s="296"/>
      <c r="I64" s="284"/>
      <c r="J64" s="284"/>
      <c r="K64" s="108"/>
      <c r="L64" s="284"/>
      <c r="M64" s="284"/>
      <c r="N64" s="108"/>
      <c r="O64" s="108"/>
      <c r="P64" s="108"/>
      <c r="Q64" s="108"/>
      <c r="R64" s="295"/>
      <c r="S64" s="284"/>
      <c r="T64" s="284"/>
    </row>
    <row r="65" spans="2:20" ht="18" x14ac:dyDescent="0.3">
      <c r="B65" s="309"/>
      <c r="C65" s="441" t="s">
        <v>136</v>
      </c>
      <c r="D65" s="442"/>
      <c r="E65" s="311"/>
      <c r="F65" s="312" t="s">
        <v>137</v>
      </c>
      <c r="G65" s="167"/>
      <c r="H65" s="313"/>
      <c r="I65" s="312"/>
      <c r="J65" s="312"/>
      <c r="K65" s="167"/>
      <c r="L65" s="312"/>
      <c r="M65" s="312"/>
      <c r="N65" s="167"/>
      <c r="O65" s="167"/>
      <c r="P65" s="167"/>
      <c r="Q65" s="167"/>
      <c r="R65" s="311"/>
      <c r="S65" s="312"/>
      <c r="T65" s="312"/>
    </row>
    <row r="66" spans="2:20" x14ac:dyDescent="0.3">
      <c r="B66" s="167"/>
      <c r="C66" s="314"/>
      <c r="D66" s="310"/>
      <c r="E66" s="311"/>
      <c r="F66" s="312"/>
      <c r="G66" s="167"/>
      <c r="H66" s="313"/>
      <c r="I66" s="312"/>
      <c r="J66" s="312"/>
      <c r="K66" s="167"/>
      <c r="L66" s="312"/>
      <c r="M66" s="312"/>
      <c r="N66" s="167"/>
      <c r="O66" s="167"/>
      <c r="P66" s="167"/>
      <c r="Q66" s="167"/>
      <c r="R66" s="311"/>
      <c r="S66" s="312"/>
      <c r="T66" s="312"/>
    </row>
    <row r="67" spans="2:20" x14ac:dyDescent="0.3">
      <c r="B67" s="167"/>
      <c r="C67" s="533" t="s">
        <v>71</v>
      </c>
      <c r="D67" s="533"/>
      <c r="E67" s="533"/>
      <c r="F67" s="534" t="s">
        <v>15</v>
      </c>
      <c r="G67" s="168">
        <f>R63</f>
        <v>37196</v>
      </c>
      <c r="H67" s="168" t="s">
        <v>12</v>
      </c>
      <c r="I67" s="168">
        <v>1000</v>
      </c>
      <c r="J67" s="534" t="s">
        <v>15</v>
      </c>
      <c r="K67" s="535">
        <f>ROUND((G67*I67/G68/I68)^0.5,)</f>
        <v>198</v>
      </c>
      <c r="L67" s="535"/>
      <c r="M67" s="487" t="s">
        <v>17</v>
      </c>
      <c r="N67" s="170"/>
      <c r="O67" s="170"/>
      <c r="P67" s="170"/>
      <c r="Q67" s="170"/>
      <c r="R67" s="311"/>
      <c r="S67" s="310"/>
      <c r="T67" s="310"/>
    </row>
    <row r="68" spans="2:20" x14ac:dyDescent="0.3">
      <c r="B68" s="167"/>
      <c r="C68" s="533"/>
      <c r="D68" s="533"/>
      <c r="E68" s="533"/>
      <c r="F68" s="534"/>
      <c r="G68" s="171">
        <f>M19</f>
        <v>0.95299999999999996</v>
      </c>
      <c r="H68" s="317" t="s">
        <v>12</v>
      </c>
      <c r="I68" s="318">
        <f>1000</f>
        <v>1000</v>
      </c>
      <c r="J68" s="487"/>
      <c r="K68" s="535"/>
      <c r="L68" s="535"/>
      <c r="M68" s="487"/>
      <c r="N68" s="170"/>
      <c r="O68" s="170"/>
      <c r="P68" s="170"/>
      <c r="Q68" s="170"/>
      <c r="R68" s="311"/>
      <c r="S68" s="310"/>
      <c r="T68" s="310"/>
    </row>
    <row r="69" spans="2:20" x14ac:dyDescent="0.3">
      <c r="B69" s="533" t="s">
        <v>72</v>
      </c>
      <c r="C69" s="533"/>
      <c r="D69" s="533"/>
      <c r="E69" s="315">
        <f>K67</f>
        <v>198</v>
      </c>
      <c r="F69" s="316" t="s">
        <v>20</v>
      </c>
      <c r="G69" s="169">
        <f>F11</f>
        <v>50</v>
      </c>
      <c r="H69" s="313" t="s">
        <v>15</v>
      </c>
      <c r="I69" s="172">
        <f>ROUNDUP(E69+G69,-1)</f>
        <v>250</v>
      </c>
      <c r="J69" s="310" t="s">
        <v>73</v>
      </c>
      <c r="K69" s="170"/>
      <c r="L69" s="487" t="s">
        <v>138</v>
      </c>
      <c r="M69" s="487"/>
      <c r="N69" s="487"/>
      <c r="O69" s="487"/>
      <c r="P69" s="487"/>
      <c r="Q69" s="173">
        <f>I69-G69</f>
        <v>200</v>
      </c>
      <c r="R69" s="170" t="s">
        <v>17</v>
      </c>
      <c r="S69" s="170"/>
      <c r="T69" s="310"/>
    </row>
    <row r="70" spans="2:20" x14ac:dyDescent="0.3">
      <c r="B70" s="108"/>
      <c r="C70" s="293"/>
      <c r="D70" s="294"/>
      <c r="E70" s="295"/>
      <c r="F70" s="284"/>
      <c r="G70" s="108"/>
      <c r="H70" s="296"/>
      <c r="I70" s="284"/>
      <c r="J70" s="284"/>
      <c r="K70" s="108"/>
      <c r="L70" s="284"/>
      <c r="M70" s="284"/>
      <c r="N70" s="108"/>
      <c r="O70" s="108"/>
      <c r="P70" s="108"/>
      <c r="Q70" s="108"/>
      <c r="R70" s="295"/>
      <c r="S70" s="284"/>
      <c r="T70" s="284"/>
    </row>
    <row r="71" spans="2:20" ht="18" x14ac:dyDescent="0.35">
      <c r="B71" s="174"/>
      <c r="C71" s="437" t="s">
        <v>139</v>
      </c>
      <c r="D71" s="438"/>
      <c r="E71" s="439"/>
      <c r="F71" s="440"/>
      <c r="G71" s="174"/>
      <c r="H71" s="321"/>
      <c r="I71" s="320"/>
      <c r="J71" s="320"/>
      <c r="K71" s="174"/>
      <c r="L71" s="320"/>
      <c r="M71" s="320"/>
      <c r="N71" s="174"/>
      <c r="O71" s="174"/>
      <c r="P71" s="174"/>
      <c r="Q71" s="174"/>
      <c r="R71" s="319"/>
      <c r="S71" s="320"/>
      <c r="T71" s="320"/>
    </row>
    <row r="72" spans="2:20" ht="15.6" x14ac:dyDescent="0.3">
      <c r="B72" s="174"/>
      <c r="C72" s="538" t="s">
        <v>340</v>
      </c>
      <c r="D72" s="538"/>
      <c r="E72" s="538"/>
      <c r="F72" s="538"/>
      <c r="G72" s="538"/>
      <c r="H72" s="538"/>
      <c r="I72" s="538"/>
      <c r="J72" s="538">
        <f>M56</f>
        <v>9810</v>
      </c>
      <c r="K72" s="538"/>
      <c r="L72" s="322" t="s">
        <v>12</v>
      </c>
      <c r="M72" s="175">
        <f>M61</f>
        <v>2.8867513459481291</v>
      </c>
      <c r="N72" s="323" t="s">
        <v>23</v>
      </c>
      <c r="O72" s="323">
        <v>2</v>
      </c>
      <c r="P72" s="176" t="s">
        <v>15</v>
      </c>
      <c r="Q72" s="539">
        <f>J72*M72/O72</f>
        <v>14159.515351875572</v>
      </c>
      <c r="R72" s="539"/>
      <c r="S72" s="539"/>
      <c r="T72" s="174" t="s">
        <v>74</v>
      </c>
    </row>
    <row r="73" spans="2:20" ht="15.6" x14ac:dyDescent="0.3">
      <c r="B73" s="174"/>
      <c r="C73" s="538" t="s">
        <v>371</v>
      </c>
      <c r="D73" s="538"/>
      <c r="E73" s="538"/>
      <c r="F73" s="538"/>
      <c r="G73" s="538"/>
      <c r="H73" s="538"/>
      <c r="I73" s="538"/>
      <c r="J73" s="538">
        <f>J72</f>
        <v>9810</v>
      </c>
      <c r="K73" s="538"/>
      <c r="L73" s="322" t="s">
        <v>12</v>
      </c>
      <c r="M73" s="175">
        <f>M58</f>
        <v>8.6602540378443873</v>
      </c>
      <c r="N73" s="323" t="s">
        <v>23</v>
      </c>
      <c r="O73" s="323">
        <v>2</v>
      </c>
      <c r="P73" s="176" t="s">
        <v>15</v>
      </c>
      <c r="Q73" s="539">
        <f>J73*M73/O73</f>
        <v>42478.546055626721</v>
      </c>
      <c r="R73" s="539"/>
      <c r="S73" s="539"/>
      <c r="T73" s="174" t="s">
        <v>74</v>
      </c>
    </row>
    <row r="74" spans="2:20" x14ac:dyDescent="0.3">
      <c r="B74" s="108"/>
      <c r="C74" s="293"/>
      <c r="D74" s="294"/>
      <c r="E74" s="295"/>
      <c r="F74" s="284"/>
      <c r="G74" s="108"/>
      <c r="H74" s="296"/>
      <c r="I74" s="284"/>
      <c r="J74" s="284"/>
      <c r="K74" s="108"/>
      <c r="L74" s="284"/>
      <c r="M74" s="284"/>
      <c r="N74" s="108"/>
      <c r="O74" s="108"/>
      <c r="P74" s="108"/>
      <c r="Q74" s="108"/>
      <c r="R74" s="295"/>
      <c r="S74" s="284"/>
      <c r="T74" s="284"/>
    </row>
    <row r="75" spans="2:20" ht="18" x14ac:dyDescent="0.35">
      <c r="B75" s="433"/>
      <c r="C75" s="434" t="s">
        <v>140</v>
      </c>
      <c r="D75" s="435"/>
      <c r="E75" s="436"/>
      <c r="F75" s="326" t="s">
        <v>141</v>
      </c>
      <c r="G75" s="177"/>
      <c r="H75" s="327"/>
      <c r="I75" s="201"/>
      <c r="J75" s="201"/>
      <c r="K75" s="177"/>
      <c r="L75" s="201"/>
      <c r="M75" s="201"/>
      <c r="N75" s="177"/>
      <c r="O75" s="177"/>
      <c r="P75" s="177"/>
      <c r="Q75" s="177"/>
      <c r="R75" s="325"/>
      <c r="S75" s="201"/>
      <c r="T75" s="201"/>
    </row>
    <row r="76" spans="2:20" ht="16.2" x14ac:dyDescent="0.3">
      <c r="B76" s="177"/>
      <c r="C76" s="328"/>
      <c r="D76" s="498" t="s">
        <v>15</v>
      </c>
      <c r="E76" s="502" t="s">
        <v>75</v>
      </c>
      <c r="F76" s="325" t="s">
        <v>76</v>
      </c>
      <c r="G76" s="506" t="s">
        <v>15</v>
      </c>
      <c r="H76" s="327"/>
      <c r="I76" s="324">
        <f>S11</f>
        <v>9810</v>
      </c>
      <c r="J76" s="330" t="s">
        <v>12</v>
      </c>
      <c r="K76" s="178">
        <f>I5</f>
        <v>2.8867513459481291</v>
      </c>
      <c r="L76" s="330" t="s">
        <v>12</v>
      </c>
      <c r="M76" s="331">
        <f>M25</f>
        <v>1</v>
      </c>
      <c r="N76" s="332" t="s">
        <v>68</v>
      </c>
      <c r="O76" s="536">
        <f>ROUND(I76*K76*M76^2/I77,)</f>
        <v>4720</v>
      </c>
      <c r="P76" s="536"/>
      <c r="Q76" s="504" t="s">
        <v>35</v>
      </c>
      <c r="R76" s="325"/>
      <c r="S76" s="324"/>
      <c r="T76" s="324"/>
    </row>
    <row r="77" spans="2:20" x14ac:dyDescent="0.3">
      <c r="B77" s="177"/>
      <c r="C77" s="328"/>
      <c r="D77" s="498"/>
      <c r="E77" s="502"/>
      <c r="F77" s="325">
        <v>6</v>
      </c>
      <c r="G77" s="506"/>
      <c r="H77" s="327"/>
      <c r="I77" s="537">
        <v>6</v>
      </c>
      <c r="J77" s="537"/>
      <c r="K77" s="537"/>
      <c r="L77" s="537"/>
      <c r="M77" s="537"/>
      <c r="N77" s="180"/>
      <c r="O77" s="536"/>
      <c r="P77" s="536"/>
      <c r="Q77" s="504"/>
      <c r="R77" s="325"/>
      <c r="S77" s="324"/>
      <c r="T77" s="324"/>
    </row>
    <row r="78" spans="2:20" ht="23.4" customHeight="1" x14ac:dyDescent="0.3">
      <c r="B78" s="177"/>
      <c r="C78" s="328"/>
      <c r="D78" s="324"/>
      <c r="E78" s="334" t="s">
        <v>77</v>
      </c>
      <c r="F78" s="324"/>
      <c r="G78" s="181"/>
      <c r="H78" s="327"/>
      <c r="I78" s="324"/>
      <c r="J78" s="324"/>
      <c r="K78" s="181"/>
      <c r="L78" s="324"/>
      <c r="M78" s="324"/>
      <c r="N78" s="181"/>
      <c r="O78" s="181"/>
      <c r="P78" s="181"/>
      <c r="Q78" s="181"/>
      <c r="R78" s="325"/>
      <c r="S78" s="324"/>
      <c r="T78" s="324"/>
    </row>
    <row r="79" spans="2:20" ht="33.6" customHeight="1" x14ac:dyDescent="0.3">
      <c r="B79" s="457" t="s">
        <v>142</v>
      </c>
      <c r="C79" s="457"/>
      <c r="D79" s="457"/>
      <c r="E79" s="457"/>
      <c r="F79" s="457"/>
      <c r="G79" s="457"/>
      <c r="H79" s="457"/>
      <c r="I79" s="457"/>
      <c r="J79" s="457"/>
      <c r="K79" s="457"/>
      <c r="L79" s="457"/>
      <c r="M79" s="457"/>
      <c r="N79" s="457"/>
      <c r="O79" s="457"/>
      <c r="P79" s="457"/>
      <c r="Q79" s="457"/>
      <c r="R79" s="457"/>
      <c r="S79" s="457"/>
      <c r="T79" s="457"/>
    </row>
    <row r="80" spans="2:20" ht="24.6" customHeight="1" x14ac:dyDescent="0.3">
      <c r="B80" s="182"/>
      <c r="C80" s="530" t="s">
        <v>367</v>
      </c>
      <c r="D80" s="531"/>
      <c r="E80" s="531"/>
      <c r="F80" s="531"/>
      <c r="G80" s="531"/>
      <c r="H80" s="531"/>
      <c r="I80" s="531"/>
      <c r="J80" s="531"/>
      <c r="K80" s="531"/>
      <c r="L80" s="531"/>
      <c r="M80" s="531"/>
      <c r="N80" s="531"/>
      <c r="O80" s="531"/>
      <c r="P80" s="531"/>
      <c r="Q80" s="531"/>
      <c r="R80" s="531"/>
      <c r="S80" s="531"/>
      <c r="T80" s="335"/>
    </row>
    <row r="81" spans="2:20" ht="15.6" x14ac:dyDescent="0.3">
      <c r="B81" s="182"/>
      <c r="C81" s="531" t="s">
        <v>341</v>
      </c>
      <c r="D81" s="531"/>
      <c r="E81" s="531"/>
      <c r="F81" s="531"/>
      <c r="G81" s="531"/>
      <c r="H81" s="531"/>
      <c r="I81" s="531"/>
      <c r="J81" s="531"/>
      <c r="K81" s="531"/>
      <c r="L81" s="531"/>
      <c r="M81" s="531"/>
      <c r="N81" s="531"/>
      <c r="O81" s="531"/>
      <c r="P81" s="531"/>
      <c r="Q81" s="531"/>
      <c r="R81" s="531"/>
      <c r="S81" s="531"/>
      <c r="T81" s="531"/>
    </row>
    <row r="82" spans="2:20" x14ac:dyDescent="0.3">
      <c r="B82" s="182"/>
      <c r="C82" s="531" t="s">
        <v>78</v>
      </c>
      <c r="D82" s="531"/>
      <c r="E82" s="531"/>
      <c r="F82" s="531"/>
      <c r="G82" s="531"/>
      <c r="H82" s="531"/>
      <c r="I82" s="531"/>
      <c r="J82" s="531"/>
      <c r="K82" s="531"/>
      <c r="L82" s="531"/>
      <c r="M82" s="531"/>
      <c r="N82" s="531"/>
      <c r="O82" s="531"/>
      <c r="P82" s="531"/>
      <c r="Q82" s="531"/>
      <c r="R82" s="531"/>
      <c r="S82" s="531"/>
      <c r="T82" s="531"/>
    </row>
    <row r="83" spans="2:20" x14ac:dyDescent="0.3">
      <c r="B83" s="182"/>
      <c r="C83" s="182"/>
      <c r="D83" s="335"/>
      <c r="E83" s="336">
        <f>M25</f>
        <v>1</v>
      </c>
      <c r="F83" s="531" t="s">
        <v>79</v>
      </c>
      <c r="G83" s="531"/>
      <c r="H83" s="531"/>
      <c r="I83" s="531"/>
      <c r="J83" s="531"/>
      <c r="K83" s="531"/>
      <c r="L83" s="531"/>
      <c r="M83" s="531"/>
      <c r="N83" s="531"/>
      <c r="O83" s="531"/>
      <c r="P83" s="531"/>
      <c r="Q83" s="531"/>
      <c r="R83" s="531"/>
      <c r="S83" s="531"/>
      <c r="T83" s="335"/>
    </row>
    <row r="84" spans="2:20" x14ac:dyDescent="0.3">
      <c r="B84" s="182"/>
      <c r="C84" s="525" t="s">
        <v>80</v>
      </c>
      <c r="D84" s="522" t="s">
        <v>342</v>
      </c>
      <c r="E84" s="338" t="s">
        <v>81</v>
      </c>
      <c r="F84" s="520" t="s">
        <v>15</v>
      </c>
      <c r="G84" s="527">
        <f>K67</f>
        <v>198</v>
      </c>
      <c r="H84" s="520" t="s">
        <v>22</v>
      </c>
      <c r="I84" s="338">
        <f>I69</f>
        <v>250</v>
      </c>
      <c r="J84" s="520" t="s">
        <v>15</v>
      </c>
      <c r="K84" s="527">
        <f>G84-I84/I85</f>
        <v>73</v>
      </c>
      <c r="L84" s="528" t="s">
        <v>17</v>
      </c>
      <c r="M84" s="528"/>
      <c r="N84" s="183"/>
      <c r="O84" s="183"/>
      <c r="P84" s="183"/>
      <c r="Q84" s="183"/>
      <c r="R84" s="338"/>
      <c r="S84" s="335"/>
      <c r="T84" s="335"/>
    </row>
    <row r="85" spans="2:20" x14ac:dyDescent="0.3">
      <c r="B85" s="182"/>
      <c r="C85" s="525"/>
      <c r="D85" s="520"/>
      <c r="E85" s="341">
        <v>2</v>
      </c>
      <c r="F85" s="520"/>
      <c r="G85" s="527"/>
      <c r="H85" s="520"/>
      <c r="I85" s="338">
        <v>2</v>
      </c>
      <c r="J85" s="522"/>
      <c r="K85" s="527"/>
      <c r="L85" s="528"/>
      <c r="M85" s="528"/>
      <c r="N85" s="183"/>
      <c r="O85" s="183"/>
      <c r="P85" s="183"/>
      <c r="Q85" s="183"/>
      <c r="R85" s="338"/>
      <c r="S85" s="335"/>
      <c r="T85" s="335"/>
    </row>
    <row r="86" spans="2:20" x14ac:dyDescent="0.3">
      <c r="B86" s="182"/>
      <c r="C86" s="525" t="s">
        <v>343</v>
      </c>
      <c r="D86" s="520" t="s">
        <v>15</v>
      </c>
      <c r="E86" s="338" t="s">
        <v>82</v>
      </c>
      <c r="F86" s="520" t="s">
        <v>15</v>
      </c>
      <c r="G86" s="183">
        <f>O56</f>
        <v>54773</v>
      </c>
      <c r="H86" s="337" t="s">
        <v>12</v>
      </c>
      <c r="I86" s="335">
        <v>1000</v>
      </c>
      <c r="J86" s="342" t="s">
        <v>143</v>
      </c>
      <c r="K86" s="183">
        <f>Q72</f>
        <v>14159.515351875572</v>
      </c>
      <c r="L86" s="337" t="s">
        <v>12</v>
      </c>
      <c r="M86" s="338">
        <f>K84</f>
        <v>73</v>
      </c>
      <c r="N86" s="529" t="s">
        <v>15</v>
      </c>
      <c r="O86" s="526">
        <f>ROUND((G86*I86-K86*M86)/(K87*I87*G87),)</f>
        <v>1993</v>
      </c>
      <c r="P86" s="526"/>
      <c r="Q86" s="527" t="s">
        <v>344</v>
      </c>
      <c r="R86" s="338"/>
      <c r="S86" s="335"/>
      <c r="T86" s="335"/>
    </row>
    <row r="87" spans="2:20" ht="15.6" x14ac:dyDescent="0.3">
      <c r="B87" s="182"/>
      <c r="C87" s="525"/>
      <c r="D87" s="522"/>
      <c r="E87" s="341" t="s">
        <v>345</v>
      </c>
      <c r="F87" s="522"/>
      <c r="G87" s="184">
        <f>O9</f>
        <v>150</v>
      </c>
      <c r="H87" s="343" t="s">
        <v>12</v>
      </c>
      <c r="I87" s="344">
        <f>M18</f>
        <v>0.89900000000000002</v>
      </c>
      <c r="J87" s="343" t="s">
        <v>12</v>
      </c>
      <c r="K87" s="184">
        <f>Q69</f>
        <v>200</v>
      </c>
      <c r="L87" s="345"/>
      <c r="M87" s="345"/>
      <c r="N87" s="527"/>
      <c r="O87" s="526"/>
      <c r="P87" s="526"/>
      <c r="Q87" s="527"/>
      <c r="R87" s="338"/>
      <c r="S87" s="335"/>
      <c r="T87" s="335"/>
    </row>
    <row r="88" spans="2:20" ht="16.5" customHeight="1" x14ac:dyDescent="0.3">
      <c r="B88" s="182"/>
      <c r="C88" s="525" t="s">
        <v>346</v>
      </c>
      <c r="D88" s="525"/>
      <c r="E88" s="525"/>
      <c r="F88" s="520" t="s">
        <v>15</v>
      </c>
      <c r="G88" s="183" t="s">
        <v>84</v>
      </c>
      <c r="H88" s="520" t="s">
        <v>15</v>
      </c>
      <c r="I88" s="338">
        <f>K86</f>
        <v>14159.515351875572</v>
      </c>
      <c r="J88" s="520" t="s">
        <v>15</v>
      </c>
      <c r="K88" s="527">
        <f>ROUND(I88/I89,)</f>
        <v>94</v>
      </c>
      <c r="L88" s="527"/>
      <c r="M88" s="527" t="s">
        <v>344</v>
      </c>
      <c r="N88" s="183"/>
      <c r="O88" s="183"/>
      <c r="P88" s="183"/>
      <c r="Q88" s="183"/>
      <c r="R88" s="338"/>
      <c r="S88" s="335"/>
      <c r="T88" s="335"/>
    </row>
    <row r="89" spans="2:20" ht="15.75" customHeight="1" x14ac:dyDescent="0.3">
      <c r="B89" s="182"/>
      <c r="C89" s="525"/>
      <c r="D89" s="525"/>
      <c r="E89" s="525"/>
      <c r="F89" s="520"/>
      <c r="G89" s="346" t="s">
        <v>311</v>
      </c>
      <c r="H89" s="520"/>
      <c r="I89" s="341">
        <f>G87</f>
        <v>150</v>
      </c>
      <c r="J89" s="522"/>
      <c r="K89" s="527"/>
      <c r="L89" s="527"/>
      <c r="M89" s="527"/>
      <c r="N89" s="183"/>
      <c r="O89" s="183"/>
      <c r="P89" s="183"/>
      <c r="Q89" s="183"/>
      <c r="R89" s="338"/>
      <c r="S89" s="335"/>
      <c r="T89" s="335"/>
    </row>
    <row r="90" spans="2:20" ht="16.2" x14ac:dyDescent="0.3">
      <c r="B90" s="182"/>
      <c r="C90" s="347"/>
      <c r="D90" s="522" t="s">
        <v>347</v>
      </c>
      <c r="E90" s="522"/>
      <c r="F90" s="339" t="s">
        <v>15</v>
      </c>
      <c r="G90" s="185">
        <f>O86</f>
        <v>1993</v>
      </c>
      <c r="H90" s="348" t="s">
        <v>20</v>
      </c>
      <c r="I90" s="338">
        <f>K88</f>
        <v>94</v>
      </c>
      <c r="J90" s="348" t="s">
        <v>15</v>
      </c>
      <c r="K90" s="521">
        <f>G90+I90</f>
        <v>2087</v>
      </c>
      <c r="L90" s="521"/>
      <c r="M90" s="183" t="s">
        <v>344</v>
      </c>
      <c r="N90" s="183" t="s">
        <v>85</v>
      </c>
      <c r="O90" s="183"/>
      <c r="P90" s="183"/>
      <c r="Q90" s="183"/>
      <c r="R90" s="338"/>
      <c r="S90" s="335"/>
      <c r="T90" s="335"/>
    </row>
    <row r="91" spans="2:20" ht="16.2" x14ac:dyDescent="0.3">
      <c r="B91" s="182"/>
      <c r="C91" s="525" t="s">
        <v>86</v>
      </c>
      <c r="D91" s="522">
        <v>20</v>
      </c>
      <c r="E91" s="522" t="s">
        <v>87</v>
      </c>
      <c r="F91" s="522"/>
      <c r="G91" s="522" t="s">
        <v>39</v>
      </c>
      <c r="H91" s="520" t="s">
        <v>15</v>
      </c>
      <c r="I91" s="349" t="s">
        <v>348</v>
      </c>
      <c r="J91" s="349"/>
      <c r="K91" s="350"/>
      <c r="L91" s="520" t="s">
        <v>15</v>
      </c>
      <c r="M91" s="349">
        <v>3.14</v>
      </c>
      <c r="N91" s="351" t="s">
        <v>12</v>
      </c>
      <c r="O91" s="351">
        <f>D91</f>
        <v>20</v>
      </c>
      <c r="P91" s="351" t="s">
        <v>12</v>
      </c>
      <c r="Q91" s="351">
        <f>D91</f>
        <v>20</v>
      </c>
      <c r="R91" s="520" t="s">
        <v>15</v>
      </c>
      <c r="S91" s="521">
        <f>M91*O91*Q91/4</f>
        <v>314</v>
      </c>
      <c r="T91" s="522" t="s">
        <v>344</v>
      </c>
    </row>
    <row r="92" spans="2:20" x14ac:dyDescent="0.3">
      <c r="B92" s="182"/>
      <c r="C92" s="525"/>
      <c r="D92" s="522"/>
      <c r="E92" s="522"/>
      <c r="F92" s="522"/>
      <c r="G92" s="522"/>
      <c r="H92" s="520"/>
      <c r="I92" s="352" t="s">
        <v>88</v>
      </c>
      <c r="J92" s="352"/>
      <c r="K92" s="350"/>
      <c r="L92" s="520"/>
      <c r="M92" s="350"/>
      <c r="N92" s="350">
        <v>4</v>
      </c>
      <c r="O92" s="352" t="s">
        <v>12</v>
      </c>
      <c r="P92" s="523">
        <v>100</v>
      </c>
      <c r="Q92" s="523"/>
      <c r="R92" s="520"/>
      <c r="S92" s="521"/>
      <c r="T92" s="522"/>
    </row>
    <row r="93" spans="2:20" x14ac:dyDescent="0.3">
      <c r="B93" s="182"/>
      <c r="C93" s="182"/>
      <c r="D93" s="353"/>
      <c r="E93" s="353"/>
      <c r="F93" s="353" t="s">
        <v>89</v>
      </c>
      <c r="G93" s="354">
        <v>1000</v>
      </c>
      <c r="H93" s="352" t="s">
        <v>12</v>
      </c>
      <c r="I93" s="354">
        <f>S91</f>
        <v>314</v>
      </c>
      <c r="J93" s="352" t="s">
        <v>23</v>
      </c>
      <c r="K93" s="354">
        <f>K90</f>
        <v>2087</v>
      </c>
      <c r="L93" s="355" t="s">
        <v>15</v>
      </c>
      <c r="M93" s="354">
        <f>G93*I93/K93</f>
        <v>150.45519885002395</v>
      </c>
      <c r="N93" s="356"/>
      <c r="O93" s="350" t="s">
        <v>90</v>
      </c>
      <c r="P93" s="355" t="s">
        <v>15</v>
      </c>
      <c r="Q93" s="354">
        <f>ROUNDDOWN(M93,-1)</f>
        <v>150</v>
      </c>
      <c r="R93" s="350" t="s">
        <v>17</v>
      </c>
      <c r="S93" s="350"/>
      <c r="T93" s="350"/>
    </row>
    <row r="94" spans="2:20" x14ac:dyDescent="0.3">
      <c r="B94" s="182"/>
      <c r="C94" s="182"/>
      <c r="D94" s="353" t="s">
        <v>91</v>
      </c>
      <c r="E94" s="186">
        <f>D91</f>
        <v>20</v>
      </c>
      <c r="F94" s="357" t="s">
        <v>307</v>
      </c>
      <c r="G94" s="182"/>
      <c r="H94" s="354"/>
      <c r="I94" s="358">
        <f>Q93</f>
        <v>150</v>
      </c>
      <c r="J94" s="350" t="s">
        <v>92</v>
      </c>
      <c r="K94" s="350"/>
      <c r="L94" s="350"/>
      <c r="M94" s="350"/>
      <c r="N94" s="350"/>
      <c r="O94" s="350"/>
      <c r="P94" s="350"/>
      <c r="Q94" s="350"/>
      <c r="R94" s="350"/>
      <c r="S94" s="182"/>
      <c r="T94" s="182"/>
    </row>
    <row r="95" spans="2:20" x14ac:dyDescent="0.3">
      <c r="B95" s="182"/>
      <c r="C95" s="335" t="s">
        <v>93</v>
      </c>
      <c r="D95" s="335"/>
      <c r="E95" s="338"/>
      <c r="F95" s="335"/>
      <c r="G95" s="183"/>
      <c r="H95" s="348"/>
      <c r="I95" s="187">
        <f>M25</f>
        <v>1</v>
      </c>
      <c r="J95" s="335" t="s">
        <v>94</v>
      </c>
      <c r="K95" s="183"/>
      <c r="L95" s="335"/>
      <c r="M95" s="335"/>
      <c r="N95" s="183"/>
      <c r="O95" s="183"/>
      <c r="P95" s="183"/>
      <c r="Q95" s="183"/>
      <c r="R95" s="338"/>
      <c r="S95" s="335"/>
      <c r="T95" s="335"/>
    </row>
    <row r="96" spans="2:20" x14ac:dyDescent="0.3">
      <c r="B96" s="182"/>
      <c r="C96" s="347"/>
      <c r="D96" s="335"/>
      <c r="E96" s="340" t="s">
        <v>95</v>
      </c>
      <c r="F96" s="335"/>
      <c r="G96" s="183"/>
      <c r="H96" s="348"/>
      <c r="I96" s="335"/>
      <c r="J96" s="335"/>
      <c r="K96" s="183"/>
      <c r="L96" s="335"/>
      <c r="M96" s="335"/>
      <c r="N96" s="183"/>
      <c r="O96" s="183"/>
      <c r="P96" s="183"/>
      <c r="Q96" s="183"/>
      <c r="R96" s="338"/>
      <c r="S96" s="335"/>
      <c r="T96" s="335"/>
    </row>
    <row r="97" spans="2:20" x14ac:dyDescent="0.3">
      <c r="B97" s="108"/>
      <c r="C97" s="293"/>
      <c r="D97" s="294"/>
      <c r="E97" s="295"/>
      <c r="F97" s="294"/>
      <c r="G97" s="188"/>
      <c r="H97" s="296"/>
      <c r="I97" s="294"/>
      <c r="J97" s="294"/>
      <c r="K97" s="188"/>
      <c r="L97" s="294"/>
      <c r="M97" s="294"/>
      <c r="N97" s="188"/>
      <c r="O97" s="188"/>
      <c r="P97" s="188"/>
      <c r="Q97" s="188"/>
      <c r="R97" s="295"/>
      <c r="S97" s="294"/>
      <c r="T97" s="294"/>
    </row>
    <row r="98" spans="2:20" ht="18" x14ac:dyDescent="0.3">
      <c r="B98" s="524" t="s">
        <v>144</v>
      </c>
      <c r="C98" s="524"/>
      <c r="D98" s="524"/>
      <c r="E98" s="524"/>
      <c r="F98" s="524"/>
      <c r="G98" s="524"/>
      <c r="H98" s="524"/>
      <c r="I98" s="524"/>
      <c r="J98" s="524"/>
      <c r="K98" s="524"/>
      <c r="L98" s="524"/>
      <c r="M98" s="524"/>
      <c r="N98" s="524"/>
      <c r="O98" s="524"/>
      <c r="P98" s="524"/>
      <c r="Q98" s="524"/>
      <c r="R98" s="524"/>
      <c r="S98" s="524"/>
      <c r="T98" s="524"/>
    </row>
    <row r="99" spans="2:20" x14ac:dyDescent="0.3">
      <c r="B99" s="189"/>
      <c r="C99" s="362"/>
      <c r="D99" s="359"/>
      <c r="E99" s="360"/>
      <c r="F99" s="359" t="s">
        <v>145</v>
      </c>
      <c r="G99" s="190"/>
      <c r="H99" s="361"/>
      <c r="I99" s="359"/>
      <c r="J99" s="359"/>
      <c r="K99" s="190"/>
      <c r="L99" s="359"/>
      <c r="M99" s="359"/>
      <c r="N99" s="190"/>
      <c r="O99" s="190"/>
      <c r="P99" s="190"/>
      <c r="Q99" s="190"/>
      <c r="R99" s="360"/>
      <c r="S99" s="359"/>
      <c r="T99" s="359"/>
    </row>
    <row r="100" spans="2:20" ht="16.2" x14ac:dyDescent="0.3">
      <c r="B100" s="189"/>
      <c r="C100" s="510" t="s">
        <v>96</v>
      </c>
      <c r="D100" s="510"/>
      <c r="E100" s="510"/>
      <c r="F100" s="510"/>
      <c r="G100" s="510"/>
      <c r="H100" s="510"/>
      <c r="I100" s="510"/>
      <c r="J100" s="510"/>
      <c r="K100" s="510"/>
      <c r="L100" s="510"/>
      <c r="M100" s="360">
        <v>150</v>
      </c>
      <c r="N100" s="190" t="s">
        <v>349</v>
      </c>
      <c r="O100" s="190"/>
      <c r="P100" s="190"/>
      <c r="Q100" s="190"/>
      <c r="R100" s="360"/>
      <c r="S100" s="359"/>
      <c r="T100" s="359"/>
    </row>
    <row r="101" spans="2:20" x14ac:dyDescent="0.3">
      <c r="B101" s="189"/>
      <c r="C101" s="363" t="s">
        <v>350</v>
      </c>
      <c r="D101" s="361" t="s">
        <v>15</v>
      </c>
      <c r="E101" s="191">
        <f>O10*F10/(O10*F10+M100)</f>
        <v>0.30340557275541796</v>
      </c>
      <c r="F101" s="192"/>
      <c r="G101" s="193" t="s">
        <v>97</v>
      </c>
      <c r="H101" s="194" t="s">
        <v>15</v>
      </c>
      <c r="I101" s="192">
        <f>1-E101/3</f>
        <v>0.89886480908152733</v>
      </c>
      <c r="J101" s="192"/>
      <c r="K101" s="192"/>
      <c r="L101" s="192"/>
      <c r="M101" s="193" t="s">
        <v>98</v>
      </c>
      <c r="N101" s="194" t="s">
        <v>15</v>
      </c>
      <c r="O101" s="192">
        <f>0.5*F10*E101*I101</f>
        <v>0.95452207280174584</v>
      </c>
      <c r="P101" s="192"/>
      <c r="Q101" s="190"/>
      <c r="R101" s="360"/>
      <c r="S101" s="359"/>
      <c r="T101" s="359"/>
    </row>
    <row r="102" spans="2:20" ht="15.6" x14ac:dyDescent="0.3">
      <c r="B102" s="189"/>
      <c r="C102" s="360" t="s">
        <v>99</v>
      </c>
      <c r="D102" s="364" t="s">
        <v>15</v>
      </c>
      <c r="E102" s="510">
        <f>R63</f>
        <v>37196</v>
      </c>
      <c r="F102" s="510"/>
      <c r="G102" s="190" t="s">
        <v>100</v>
      </c>
      <c r="H102" s="361"/>
      <c r="I102" s="359"/>
      <c r="J102" s="359"/>
      <c r="K102" s="517" t="s">
        <v>351</v>
      </c>
      <c r="L102" s="517"/>
      <c r="M102" s="364" t="s">
        <v>15</v>
      </c>
      <c r="N102" s="517">
        <f>Q72</f>
        <v>14159.515351875572</v>
      </c>
      <c r="O102" s="517"/>
      <c r="P102" s="517" t="s">
        <v>74</v>
      </c>
      <c r="Q102" s="517"/>
      <c r="R102" s="360"/>
      <c r="S102" s="359"/>
      <c r="T102" s="359"/>
    </row>
    <row r="103" spans="2:20" x14ac:dyDescent="0.3">
      <c r="B103" s="189"/>
      <c r="C103" s="515" t="s">
        <v>343</v>
      </c>
      <c r="D103" s="508" t="s">
        <v>15</v>
      </c>
      <c r="E103" s="360" t="s">
        <v>101</v>
      </c>
      <c r="F103" s="508" t="s">
        <v>15</v>
      </c>
      <c r="G103" s="190">
        <f>E102</f>
        <v>37196</v>
      </c>
      <c r="H103" s="363" t="s">
        <v>12</v>
      </c>
      <c r="I103" s="359">
        <v>1000</v>
      </c>
      <c r="J103" s="363" t="s">
        <v>22</v>
      </c>
      <c r="K103" s="190">
        <f>N102</f>
        <v>14159.515351875572</v>
      </c>
      <c r="L103" s="363" t="s">
        <v>12</v>
      </c>
      <c r="M103" s="360">
        <f>M86</f>
        <v>73</v>
      </c>
      <c r="N103" s="518" t="s">
        <v>15</v>
      </c>
      <c r="O103" s="519">
        <f>ROUND((G103*I103-K103*M103)/(K104*I104*G104),)</f>
        <v>1341</v>
      </c>
      <c r="P103" s="519"/>
      <c r="Q103" s="517" t="s">
        <v>344</v>
      </c>
      <c r="R103" s="360"/>
      <c r="S103" s="359"/>
      <c r="T103" s="359"/>
    </row>
    <row r="104" spans="2:20" x14ac:dyDescent="0.3">
      <c r="B104" s="189"/>
      <c r="C104" s="515"/>
      <c r="D104" s="510"/>
      <c r="E104" s="365" t="s">
        <v>308</v>
      </c>
      <c r="F104" s="510"/>
      <c r="G104" s="195">
        <f>M100</f>
        <v>150</v>
      </c>
      <c r="H104" s="366" t="s">
        <v>12</v>
      </c>
      <c r="I104" s="367">
        <f>I101</f>
        <v>0.89886480908152733</v>
      </c>
      <c r="J104" s="366" t="s">
        <v>12</v>
      </c>
      <c r="K104" s="195">
        <f>K87</f>
        <v>200</v>
      </c>
      <c r="L104" s="368"/>
      <c r="M104" s="368"/>
      <c r="N104" s="517"/>
      <c r="O104" s="519"/>
      <c r="P104" s="519"/>
      <c r="Q104" s="517"/>
      <c r="R104" s="360"/>
      <c r="S104" s="359"/>
      <c r="T104" s="359"/>
    </row>
    <row r="105" spans="2:20" x14ac:dyDescent="0.3">
      <c r="B105" s="189"/>
      <c r="C105" s="515" t="s">
        <v>346</v>
      </c>
      <c r="D105" s="515"/>
      <c r="E105" s="515"/>
      <c r="F105" s="508" t="s">
        <v>15</v>
      </c>
      <c r="G105" s="190" t="s">
        <v>84</v>
      </c>
      <c r="H105" s="508" t="s">
        <v>15</v>
      </c>
      <c r="I105" s="360">
        <f>K103</f>
        <v>14159.515351875572</v>
      </c>
      <c r="J105" s="508" t="s">
        <v>15</v>
      </c>
      <c r="K105" s="517">
        <f>ROUND(I105/I106,)</f>
        <v>94</v>
      </c>
      <c r="L105" s="517"/>
      <c r="M105" s="517" t="s">
        <v>344</v>
      </c>
      <c r="N105" s="190"/>
      <c r="O105" s="190"/>
      <c r="P105" s="190"/>
      <c r="Q105" s="190"/>
      <c r="R105" s="360"/>
      <c r="S105" s="359"/>
      <c r="T105" s="359"/>
    </row>
    <row r="106" spans="2:20" ht="12.75" customHeight="1" x14ac:dyDescent="0.35">
      <c r="B106" s="189"/>
      <c r="C106" s="515"/>
      <c r="D106" s="515"/>
      <c r="E106" s="515"/>
      <c r="F106" s="508"/>
      <c r="G106" s="196" t="s">
        <v>311</v>
      </c>
      <c r="H106" s="508"/>
      <c r="I106" s="365">
        <f>G104</f>
        <v>150</v>
      </c>
      <c r="J106" s="510"/>
      <c r="K106" s="517"/>
      <c r="L106" s="517"/>
      <c r="M106" s="517"/>
      <c r="N106" s="190"/>
      <c r="O106" s="190"/>
      <c r="P106" s="190"/>
      <c r="Q106" s="190"/>
      <c r="R106" s="360"/>
      <c r="S106" s="359"/>
      <c r="T106" s="359"/>
    </row>
    <row r="107" spans="2:20" ht="12.75" customHeight="1" x14ac:dyDescent="0.3">
      <c r="B107" s="189"/>
      <c r="C107" s="362"/>
      <c r="D107" s="510" t="s">
        <v>347</v>
      </c>
      <c r="E107" s="510"/>
      <c r="F107" s="364" t="s">
        <v>15</v>
      </c>
      <c r="G107" s="197">
        <f>O103</f>
        <v>1341</v>
      </c>
      <c r="H107" s="361" t="s">
        <v>20</v>
      </c>
      <c r="I107" s="360">
        <f>K105</f>
        <v>94</v>
      </c>
      <c r="J107" s="361" t="s">
        <v>15</v>
      </c>
      <c r="K107" s="509">
        <f>G107+I107</f>
        <v>1435</v>
      </c>
      <c r="L107" s="509"/>
      <c r="M107" s="190" t="s">
        <v>344</v>
      </c>
      <c r="N107" s="190" t="s">
        <v>85</v>
      </c>
      <c r="O107" s="190"/>
      <c r="P107" s="190"/>
      <c r="Q107" s="190"/>
      <c r="R107" s="360"/>
      <c r="S107" s="359"/>
      <c r="T107" s="359"/>
    </row>
    <row r="108" spans="2:20" ht="16.2" x14ac:dyDescent="0.3">
      <c r="B108" s="189"/>
      <c r="C108" s="515" t="s">
        <v>86</v>
      </c>
      <c r="D108" s="516">
        <f>'[1]Data sheet'!F20</f>
        <v>20</v>
      </c>
      <c r="E108" s="510" t="s">
        <v>87</v>
      </c>
      <c r="F108" s="510"/>
      <c r="G108" s="510" t="s">
        <v>39</v>
      </c>
      <c r="H108" s="508" t="s">
        <v>15</v>
      </c>
      <c r="I108" s="369" t="s">
        <v>348</v>
      </c>
      <c r="J108" s="369"/>
      <c r="K108" s="196"/>
      <c r="L108" s="508" t="s">
        <v>15</v>
      </c>
      <c r="M108" s="369">
        <v>3.14</v>
      </c>
      <c r="N108" s="370" t="s">
        <v>12</v>
      </c>
      <c r="O108" s="370">
        <f>D108</f>
        <v>20</v>
      </c>
      <c r="P108" s="370" t="s">
        <v>12</v>
      </c>
      <c r="Q108" s="370">
        <f>D108</f>
        <v>20</v>
      </c>
      <c r="R108" s="508" t="s">
        <v>15</v>
      </c>
      <c r="S108" s="509">
        <f>M108*O108*Q108/4</f>
        <v>314</v>
      </c>
      <c r="T108" s="510" t="s">
        <v>344</v>
      </c>
    </row>
    <row r="109" spans="2:20" x14ac:dyDescent="0.3">
      <c r="B109" s="198"/>
      <c r="C109" s="515"/>
      <c r="D109" s="510"/>
      <c r="E109" s="510"/>
      <c r="F109" s="510"/>
      <c r="G109" s="510"/>
      <c r="H109" s="508"/>
      <c r="I109" s="371" t="s">
        <v>88</v>
      </c>
      <c r="J109" s="371"/>
      <c r="K109" s="196"/>
      <c r="L109" s="508"/>
      <c r="M109" s="511">
        <v>4</v>
      </c>
      <c r="N109" s="511"/>
      <c r="O109" s="371" t="s">
        <v>12</v>
      </c>
      <c r="P109" s="512">
        <v>100</v>
      </c>
      <c r="Q109" s="512"/>
      <c r="R109" s="508"/>
      <c r="S109" s="509"/>
      <c r="T109" s="510"/>
    </row>
    <row r="110" spans="2:20" x14ac:dyDescent="0.3">
      <c r="B110" s="189"/>
      <c r="C110" s="189"/>
      <c r="D110" s="372"/>
      <c r="E110" s="372"/>
      <c r="F110" s="372" t="s">
        <v>89</v>
      </c>
      <c r="G110" s="373">
        <v>1000</v>
      </c>
      <c r="H110" s="371" t="s">
        <v>12</v>
      </c>
      <c r="I110" s="373">
        <f>S108</f>
        <v>314</v>
      </c>
      <c r="J110" s="371" t="s">
        <v>23</v>
      </c>
      <c r="K110" s="373">
        <f>K107</f>
        <v>1435</v>
      </c>
      <c r="L110" s="374" t="s">
        <v>15</v>
      </c>
      <c r="M110" s="373">
        <f>G110*I110/K110</f>
        <v>218.81533101045295</v>
      </c>
      <c r="N110" s="375"/>
      <c r="O110" s="196" t="s">
        <v>90</v>
      </c>
      <c r="P110" s="374" t="s">
        <v>15</v>
      </c>
      <c r="Q110" s="373">
        <f>ROUNDDOWN(M110,-1)</f>
        <v>210</v>
      </c>
      <c r="R110" s="196" t="s">
        <v>17</v>
      </c>
      <c r="S110" s="196"/>
      <c r="T110" s="196"/>
    </row>
    <row r="111" spans="2:20" x14ac:dyDescent="0.3">
      <c r="B111" s="189"/>
      <c r="C111" s="514" t="s">
        <v>102</v>
      </c>
      <c r="D111" s="514"/>
      <c r="E111" s="514"/>
      <c r="F111" s="514"/>
      <c r="G111" s="514"/>
      <c r="H111" s="514"/>
      <c r="I111" s="514"/>
      <c r="J111" s="514"/>
      <c r="K111" s="514"/>
      <c r="L111" s="514"/>
      <c r="M111" s="514"/>
      <c r="N111" s="514"/>
      <c r="O111" s="200">
        <f>D108</f>
        <v>20</v>
      </c>
      <c r="P111" s="196" t="s">
        <v>309</v>
      </c>
      <c r="Q111" s="373"/>
      <c r="R111" s="196"/>
      <c r="S111" s="376">
        <f>I94</f>
        <v>150</v>
      </c>
      <c r="T111" s="196" t="s">
        <v>17</v>
      </c>
    </row>
    <row r="112" spans="2:20" x14ac:dyDescent="0.3">
      <c r="B112" s="189"/>
      <c r="C112" s="514" t="s">
        <v>146</v>
      </c>
      <c r="D112" s="514"/>
      <c r="E112" s="514"/>
      <c r="F112" s="514"/>
      <c r="G112" s="514"/>
      <c r="H112" s="514"/>
      <c r="I112" s="514"/>
      <c r="J112" s="514"/>
      <c r="K112" s="514"/>
      <c r="L112" s="514"/>
      <c r="M112" s="514"/>
      <c r="N112" s="514"/>
      <c r="O112" s="199">
        <f>G5/4</f>
        <v>2.1650635094610968</v>
      </c>
      <c r="P112" s="196" t="s">
        <v>103</v>
      </c>
      <c r="Q112" s="373"/>
      <c r="R112" s="196"/>
      <c r="S112" s="196"/>
      <c r="T112" s="196"/>
    </row>
    <row r="113" spans="2:20" x14ac:dyDescent="0.3">
      <c r="B113" s="189"/>
      <c r="C113" s="513" t="s">
        <v>104</v>
      </c>
      <c r="D113" s="513"/>
      <c r="E113" s="513"/>
      <c r="F113" s="513"/>
      <c r="G113" s="513"/>
      <c r="H113" s="513"/>
      <c r="I113" s="513"/>
      <c r="J113" s="513"/>
      <c r="K113" s="513"/>
      <c r="L113" s="377">
        <f>O111</f>
        <v>20</v>
      </c>
      <c r="M113" s="513" t="s">
        <v>310</v>
      </c>
      <c r="N113" s="513"/>
      <c r="O113" s="513"/>
      <c r="P113" s="513"/>
      <c r="Q113" s="513"/>
      <c r="R113" s="513"/>
      <c r="S113" s="200">
        <f>S111*2</f>
        <v>300</v>
      </c>
      <c r="T113" s="196" t="s">
        <v>105</v>
      </c>
    </row>
    <row r="114" spans="2:20" x14ac:dyDescent="0.3">
      <c r="B114" s="189"/>
      <c r="C114" s="359" t="s">
        <v>147</v>
      </c>
      <c r="D114" s="359"/>
      <c r="E114" s="360"/>
      <c r="F114" s="359"/>
      <c r="G114" s="190"/>
      <c r="H114" s="361"/>
      <c r="I114" s="359"/>
      <c r="J114" s="359"/>
      <c r="K114" s="190"/>
      <c r="L114" s="359"/>
      <c r="M114" s="359"/>
      <c r="N114" s="190"/>
      <c r="O114" s="190"/>
      <c r="P114" s="190"/>
      <c r="Q114" s="190"/>
      <c r="R114" s="360"/>
      <c r="S114" s="359"/>
      <c r="T114" s="359"/>
    </row>
    <row r="115" spans="2:20" x14ac:dyDescent="0.3">
      <c r="B115" s="108"/>
      <c r="C115" s="293"/>
      <c r="D115" s="294"/>
      <c r="E115" s="295"/>
      <c r="F115" s="294"/>
      <c r="G115" s="188"/>
      <c r="H115" s="296"/>
      <c r="I115" s="294"/>
      <c r="J115" s="294"/>
      <c r="K115" s="188"/>
      <c r="L115" s="294"/>
      <c r="M115" s="294"/>
      <c r="N115" s="188"/>
      <c r="O115" s="188"/>
      <c r="P115" s="188"/>
      <c r="Q115" s="188"/>
      <c r="R115" s="295"/>
      <c r="S115" s="294"/>
      <c r="T115" s="294"/>
    </row>
    <row r="116" spans="2:20" ht="18" x14ac:dyDescent="0.3">
      <c r="B116" s="464" t="s">
        <v>236</v>
      </c>
      <c r="C116" s="464"/>
      <c r="D116" s="464"/>
      <c r="E116" s="464"/>
      <c r="F116" s="464"/>
      <c r="G116" s="464"/>
      <c r="H116" s="464"/>
      <c r="I116" s="464"/>
      <c r="J116" s="464"/>
      <c r="K116" s="464"/>
      <c r="L116" s="464"/>
      <c r="M116" s="464"/>
      <c r="N116" s="464"/>
      <c r="O116" s="464"/>
      <c r="P116" s="464"/>
      <c r="Q116" s="464"/>
      <c r="R116" s="464"/>
      <c r="S116" s="464"/>
      <c r="T116" s="464"/>
    </row>
    <row r="117" spans="2:20" ht="15.6" x14ac:dyDescent="0.3">
      <c r="B117" s="177"/>
      <c r="C117" s="334" t="s">
        <v>365</v>
      </c>
      <c r="D117" s="324"/>
      <c r="E117" s="325"/>
      <c r="F117" s="330"/>
      <c r="G117" s="504">
        <f>O56</f>
        <v>54773</v>
      </c>
      <c r="H117" s="504"/>
      <c r="I117" s="324" t="s">
        <v>35</v>
      </c>
      <c r="J117" s="324"/>
      <c r="K117" s="465" t="s">
        <v>366</v>
      </c>
      <c r="L117" s="465"/>
      <c r="M117" s="465"/>
      <c r="N117" s="505">
        <f>Q73</f>
        <v>42478.546055626721</v>
      </c>
      <c r="O117" s="505"/>
      <c r="P117" s="505"/>
      <c r="Q117" s="181" t="s">
        <v>74</v>
      </c>
      <c r="R117" s="325"/>
      <c r="S117" s="324"/>
      <c r="T117" s="324"/>
    </row>
    <row r="118" spans="2:20" ht="15.6" x14ac:dyDescent="0.3">
      <c r="B118" s="177"/>
      <c r="C118" s="503" t="s">
        <v>343</v>
      </c>
      <c r="D118" s="498" t="s">
        <v>15</v>
      </c>
      <c r="E118" s="325" t="s">
        <v>352</v>
      </c>
      <c r="F118" s="498" t="s">
        <v>15</v>
      </c>
      <c r="G118" s="181">
        <f>G117</f>
        <v>54773</v>
      </c>
      <c r="H118" s="324" t="s">
        <v>12</v>
      </c>
      <c r="I118" s="324">
        <v>1000</v>
      </c>
      <c r="J118" s="324" t="s">
        <v>83</v>
      </c>
      <c r="K118" s="181">
        <f>N117</f>
        <v>42478.546055626721</v>
      </c>
      <c r="L118" s="324" t="s">
        <v>12</v>
      </c>
      <c r="M118" s="325">
        <f>M103</f>
        <v>73</v>
      </c>
      <c r="N118" s="506" t="s">
        <v>15</v>
      </c>
      <c r="O118" s="507">
        <f>ROUND((G118*I118-K118*M118)/(K119*I119*G119),)</f>
        <v>1916</v>
      </c>
      <c r="P118" s="507"/>
      <c r="Q118" s="504" t="s">
        <v>344</v>
      </c>
      <c r="R118" s="325"/>
      <c r="S118" s="324"/>
      <c r="T118" s="324"/>
    </row>
    <row r="119" spans="2:20" x14ac:dyDescent="0.3">
      <c r="B119" s="177"/>
      <c r="C119" s="503"/>
      <c r="D119" s="502"/>
      <c r="E119" s="333" t="s">
        <v>308</v>
      </c>
      <c r="F119" s="502"/>
      <c r="G119" s="180">
        <f>G104</f>
        <v>150</v>
      </c>
      <c r="H119" s="378" t="s">
        <v>12</v>
      </c>
      <c r="I119" s="379">
        <f>I104</f>
        <v>0.89886480908152733</v>
      </c>
      <c r="J119" s="378" t="s">
        <v>12</v>
      </c>
      <c r="K119" s="180">
        <f>K104</f>
        <v>200</v>
      </c>
      <c r="L119" s="378"/>
      <c r="M119" s="378"/>
      <c r="N119" s="504"/>
      <c r="O119" s="507"/>
      <c r="P119" s="507"/>
      <c r="Q119" s="504"/>
      <c r="R119" s="325"/>
      <c r="S119" s="324"/>
      <c r="T119" s="324"/>
    </row>
    <row r="120" spans="2:20" x14ac:dyDescent="0.3">
      <c r="B120" s="177"/>
      <c r="C120" s="503" t="s">
        <v>346</v>
      </c>
      <c r="D120" s="503"/>
      <c r="E120" s="503"/>
      <c r="F120" s="498" t="s">
        <v>15</v>
      </c>
      <c r="G120" s="181" t="s">
        <v>84</v>
      </c>
      <c r="H120" s="498" t="s">
        <v>15</v>
      </c>
      <c r="I120" s="380">
        <f>K118</f>
        <v>42478.546055626721</v>
      </c>
      <c r="J120" s="498" t="s">
        <v>15</v>
      </c>
      <c r="K120" s="504">
        <f>ROUND(I120/I121,)</f>
        <v>283</v>
      </c>
      <c r="L120" s="504"/>
      <c r="M120" s="504" t="s">
        <v>344</v>
      </c>
      <c r="N120" s="181"/>
      <c r="O120" s="181"/>
      <c r="P120" s="181"/>
      <c r="Q120" s="181"/>
      <c r="R120" s="325"/>
      <c r="S120" s="324"/>
      <c r="T120" s="324"/>
    </row>
    <row r="121" spans="2:20" ht="15.6" x14ac:dyDescent="0.35">
      <c r="B121" s="177"/>
      <c r="C121" s="503"/>
      <c r="D121" s="503"/>
      <c r="E121" s="503"/>
      <c r="F121" s="498"/>
      <c r="G121" s="201" t="s">
        <v>311</v>
      </c>
      <c r="H121" s="498"/>
      <c r="I121" s="333">
        <f>G119</f>
        <v>150</v>
      </c>
      <c r="J121" s="502"/>
      <c r="K121" s="504"/>
      <c r="L121" s="504"/>
      <c r="M121" s="504"/>
      <c r="N121" s="181"/>
      <c r="O121" s="181"/>
      <c r="P121" s="181"/>
      <c r="Q121" s="181"/>
      <c r="R121" s="325"/>
      <c r="S121" s="324"/>
      <c r="T121" s="324"/>
    </row>
    <row r="122" spans="2:20" ht="16.2" x14ac:dyDescent="0.3">
      <c r="B122" s="177"/>
      <c r="C122" s="328"/>
      <c r="D122" s="502" t="s">
        <v>347</v>
      </c>
      <c r="E122" s="502"/>
      <c r="F122" s="329" t="s">
        <v>15</v>
      </c>
      <c r="G122" s="202">
        <f>O118</f>
        <v>1916</v>
      </c>
      <c r="H122" s="327" t="s">
        <v>20</v>
      </c>
      <c r="I122" s="325">
        <f>K120</f>
        <v>283</v>
      </c>
      <c r="J122" s="327" t="s">
        <v>15</v>
      </c>
      <c r="K122" s="499">
        <f>G122+I122</f>
        <v>2199</v>
      </c>
      <c r="L122" s="499"/>
      <c r="M122" s="181" t="s">
        <v>344</v>
      </c>
      <c r="N122" s="181" t="s">
        <v>85</v>
      </c>
      <c r="O122" s="181"/>
      <c r="P122" s="181"/>
      <c r="Q122" s="181"/>
      <c r="R122" s="325"/>
      <c r="S122" s="324"/>
      <c r="T122" s="324"/>
    </row>
    <row r="123" spans="2:20" ht="16.2" x14ac:dyDescent="0.3">
      <c r="B123" s="177"/>
      <c r="C123" s="503" t="s">
        <v>86</v>
      </c>
      <c r="D123" s="502">
        <f>'[1]Data sheet'!F23</f>
        <v>20</v>
      </c>
      <c r="E123" s="502" t="s">
        <v>87</v>
      </c>
      <c r="F123" s="502"/>
      <c r="G123" s="502" t="s">
        <v>39</v>
      </c>
      <c r="H123" s="498" t="s">
        <v>15</v>
      </c>
      <c r="I123" s="381" t="s">
        <v>353</v>
      </c>
      <c r="J123" s="381"/>
      <c r="K123" s="201"/>
      <c r="L123" s="498" t="s">
        <v>15</v>
      </c>
      <c r="M123" s="381">
        <v>3.14</v>
      </c>
      <c r="N123" s="382" t="s">
        <v>12</v>
      </c>
      <c r="O123" s="382">
        <f>D123</f>
        <v>20</v>
      </c>
      <c r="P123" s="382" t="s">
        <v>12</v>
      </c>
      <c r="Q123" s="382">
        <f>D123</f>
        <v>20</v>
      </c>
      <c r="R123" s="498" t="s">
        <v>15</v>
      </c>
      <c r="S123" s="499">
        <f>M123*O123*Q123/4</f>
        <v>314</v>
      </c>
      <c r="T123" s="500" t="s">
        <v>344</v>
      </c>
    </row>
    <row r="124" spans="2:20" x14ac:dyDescent="0.3">
      <c r="B124" s="177"/>
      <c r="C124" s="503"/>
      <c r="D124" s="502"/>
      <c r="E124" s="502"/>
      <c r="F124" s="502"/>
      <c r="G124" s="502"/>
      <c r="H124" s="498"/>
      <c r="I124" s="383" t="s">
        <v>88</v>
      </c>
      <c r="J124" s="383"/>
      <c r="K124" s="201"/>
      <c r="L124" s="498"/>
      <c r="M124" s="201"/>
      <c r="N124" s="201">
        <v>4</v>
      </c>
      <c r="O124" s="383" t="s">
        <v>12</v>
      </c>
      <c r="P124" s="501">
        <v>100</v>
      </c>
      <c r="Q124" s="501"/>
      <c r="R124" s="498"/>
      <c r="S124" s="499"/>
      <c r="T124" s="500"/>
    </row>
    <row r="125" spans="2:20" x14ac:dyDescent="0.3">
      <c r="B125" s="177"/>
      <c r="C125" s="177"/>
      <c r="D125" s="384"/>
      <c r="E125" s="384"/>
      <c r="F125" s="384" t="s">
        <v>89</v>
      </c>
      <c r="G125" s="385">
        <v>1000</v>
      </c>
      <c r="H125" s="383" t="s">
        <v>12</v>
      </c>
      <c r="I125" s="385">
        <f>S123</f>
        <v>314</v>
      </c>
      <c r="J125" s="383" t="s">
        <v>23</v>
      </c>
      <c r="K125" s="385">
        <f>K122</f>
        <v>2199</v>
      </c>
      <c r="L125" s="386" t="s">
        <v>15</v>
      </c>
      <c r="M125" s="385">
        <f>G125*I125/K125</f>
        <v>142.79217826284676</v>
      </c>
      <c r="N125" s="387"/>
      <c r="O125" s="201" t="s">
        <v>90</v>
      </c>
      <c r="P125" s="386" t="s">
        <v>15</v>
      </c>
      <c r="Q125" s="385">
        <f>ROUNDDOWN(M125,-1)</f>
        <v>140</v>
      </c>
      <c r="R125" s="201" t="s">
        <v>17</v>
      </c>
      <c r="S125" s="201"/>
      <c r="T125" s="201"/>
    </row>
    <row r="126" spans="2:20" x14ac:dyDescent="0.3">
      <c r="B126" s="177"/>
      <c r="C126" s="500" t="s">
        <v>148</v>
      </c>
      <c r="D126" s="500"/>
      <c r="E126" s="179">
        <f>D123</f>
        <v>20</v>
      </c>
      <c r="F126" s="324" t="s">
        <v>106</v>
      </c>
      <c r="G126" s="181"/>
      <c r="H126" s="327"/>
      <c r="I126" s="203">
        <f>Q125</f>
        <v>140</v>
      </c>
      <c r="J126" s="324" t="s">
        <v>107</v>
      </c>
      <c r="K126" s="324"/>
      <c r="L126" s="324"/>
      <c r="M126" s="324"/>
      <c r="N126" s="181"/>
      <c r="O126" s="181"/>
      <c r="P126" s="181"/>
      <c r="Q126" s="181"/>
      <c r="R126" s="325"/>
      <c r="S126" s="324"/>
      <c r="T126" s="324"/>
    </row>
    <row r="127" spans="2:20" x14ac:dyDescent="0.3">
      <c r="B127" s="177"/>
      <c r="C127" s="324" t="s">
        <v>108</v>
      </c>
      <c r="D127" s="324"/>
      <c r="E127" s="325"/>
      <c r="F127" s="324"/>
      <c r="G127" s="181"/>
      <c r="H127" s="327"/>
      <c r="I127" s="324"/>
      <c r="J127" s="324"/>
      <c r="K127" s="181"/>
      <c r="L127" s="324"/>
      <c r="M127" s="324"/>
      <c r="N127" s="181"/>
      <c r="O127" s="181"/>
      <c r="P127" s="181"/>
      <c r="Q127" s="181"/>
      <c r="R127" s="325"/>
      <c r="S127" s="324"/>
      <c r="T127" s="324"/>
    </row>
    <row r="128" spans="2:20" x14ac:dyDescent="0.3">
      <c r="B128" s="177"/>
      <c r="C128" s="324" t="s">
        <v>109</v>
      </c>
      <c r="D128" s="324"/>
      <c r="E128" s="325"/>
      <c r="F128" s="324"/>
      <c r="G128" s="181"/>
      <c r="H128" s="327"/>
      <c r="I128" s="324"/>
      <c r="J128" s="324"/>
      <c r="K128" s="181"/>
      <c r="L128" s="324"/>
      <c r="M128" s="324"/>
      <c r="N128" s="181"/>
      <c r="O128" s="181"/>
      <c r="P128" s="181"/>
      <c r="Q128" s="181"/>
      <c r="R128" s="325"/>
      <c r="S128" s="324"/>
      <c r="T128" s="324"/>
    </row>
    <row r="129" spans="2:20" x14ac:dyDescent="0.3">
      <c r="B129" s="177"/>
      <c r="C129" s="324" t="s">
        <v>149</v>
      </c>
      <c r="D129" s="324"/>
      <c r="E129" s="325"/>
      <c r="F129" s="324"/>
      <c r="G129" s="181"/>
      <c r="H129" s="327"/>
      <c r="I129" s="324"/>
      <c r="J129" s="324"/>
      <c r="K129" s="181"/>
      <c r="L129" s="324"/>
      <c r="M129" s="324"/>
      <c r="N129" s="181"/>
      <c r="O129" s="181"/>
      <c r="P129" s="181"/>
      <c r="Q129" s="181"/>
      <c r="R129" s="380">
        <f>I5/4</f>
        <v>0.72168783648703227</v>
      </c>
      <c r="S129" s="324"/>
      <c r="T129" s="177"/>
    </row>
    <row r="130" spans="2:20" x14ac:dyDescent="0.3">
      <c r="B130" s="177"/>
      <c r="C130" s="324" t="s">
        <v>150</v>
      </c>
      <c r="D130" s="324"/>
      <c r="E130" s="325"/>
      <c r="F130" s="324"/>
      <c r="G130" s="181"/>
      <c r="H130" s="327"/>
      <c r="I130" s="324"/>
      <c r="J130" s="324"/>
      <c r="K130" s="181"/>
      <c r="L130" s="324"/>
      <c r="M130" s="324"/>
      <c r="N130" s="181"/>
      <c r="O130" s="181"/>
      <c r="P130" s="181"/>
      <c r="Q130" s="181"/>
      <c r="R130" s="325"/>
      <c r="S130" s="324"/>
      <c r="T130" s="324"/>
    </row>
    <row r="131" spans="2:20" x14ac:dyDescent="0.3">
      <c r="B131" s="177"/>
      <c r="C131" s="324" t="s">
        <v>110</v>
      </c>
      <c r="D131" s="324"/>
      <c r="E131" s="325">
        <f>E126</f>
        <v>20</v>
      </c>
      <c r="F131" s="502" t="s">
        <v>106</v>
      </c>
      <c r="G131" s="502"/>
      <c r="H131" s="502"/>
      <c r="I131" s="179">
        <f>I126*2</f>
        <v>280</v>
      </c>
      <c r="J131" s="324" t="s">
        <v>105</v>
      </c>
      <c r="K131" s="181"/>
      <c r="L131" s="324"/>
      <c r="M131" s="324"/>
      <c r="N131" s="181"/>
      <c r="O131" s="181"/>
      <c r="P131" s="181"/>
      <c r="Q131" s="181"/>
      <c r="R131" s="325"/>
      <c r="S131" s="324"/>
      <c r="T131" s="324"/>
    </row>
    <row r="132" spans="2:20" ht="27" customHeight="1" x14ac:dyDescent="0.3">
      <c r="B132" s="108"/>
      <c r="C132" s="293"/>
      <c r="D132" s="294"/>
      <c r="E132" s="295"/>
      <c r="F132" s="294"/>
      <c r="G132" s="188"/>
      <c r="H132" s="296"/>
      <c r="I132" s="294"/>
      <c r="J132" s="294"/>
      <c r="K132" s="188"/>
      <c r="L132" s="294"/>
      <c r="M132" s="294"/>
      <c r="N132" s="188"/>
      <c r="O132" s="188"/>
      <c r="P132" s="188"/>
      <c r="Q132" s="188"/>
      <c r="R132" s="295"/>
      <c r="S132" s="294"/>
      <c r="T132" s="294"/>
    </row>
    <row r="133" spans="2:20" ht="20.399999999999999" customHeight="1" x14ac:dyDescent="0.3">
      <c r="B133" s="463" t="s">
        <v>151</v>
      </c>
      <c r="C133" s="463"/>
      <c r="D133" s="463"/>
      <c r="E133" s="463"/>
      <c r="F133" s="463"/>
      <c r="G133" s="463"/>
      <c r="H133" s="463"/>
      <c r="I133" s="463"/>
      <c r="J133" s="463"/>
      <c r="K133" s="463"/>
      <c r="L133" s="463"/>
      <c r="M133" s="463"/>
      <c r="N133" s="463"/>
      <c r="O133" s="463"/>
      <c r="P133" s="463"/>
      <c r="Q133" s="463"/>
      <c r="R133" s="463"/>
      <c r="S133" s="463"/>
      <c r="T133" s="463"/>
    </row>
    <row r="134" spans="2:20" ht="22.2" customHeight="1" x14ac:dyDescent="0.3">
      <c r="B134" s="204"/>
      <c r="C134" s="206"/>
      <c r="D134" s="206" t="s">
        <v>111</v>
      </c>
      <c r="E134" s="207"/>
      <c r="F134" s="206"/>
      <c r="G134" s="205"/>
      <c r="H134" s="496">
        <f>O76</f>
        <v>4720</v>
      </c>
      <c r="I134" s="496"/>
      <c r="J134" s="206" t="s">
        <v>35</v>
      </c>
      <c r="K134" s="205"/>
      <c r="L134" s="206"/>
      <c r="M134" s="206"/>
      <c r="N134" s="205"/>
      <c r="O134" s="205"/>
      <c r="P134" s="205"/>
      <c r="Q134" s="205"/>
      <c r="R134" s="207"/>
      <c r="S134" s="206"/>
      <c r="T134" s="206"/>
    </row>
    <row r="135" spans="2:20" x14ac:dyDescent="0.3">
      <c r="B135" s="204"/>
      <c r="C135" s="494" t="s">
        <v>354</v>
      </c>
      <c r="D135" s="488" t="s">
        <v>15</v>
      </c>
      <c r="E135" s="497">
        <f>H134</f>
        <v>4720</v>
      </c>
      <c r="F135" s="497"/>
      <c r="G135" s="388" t="s">
        <v>12</v>
      </c>
      <c r="H135" s="497">
        <v>1000</v>
      </c>
      <c r="I135" s="497"/>
      <c r="J135" s="488" t="s">
        <v>15</v>
      </c>
      <c r="K135" s="495">
        <f>ROUND(E135*H135/(E136*G136*I136),)</f>
        <v>175</v>
      </c>
      <c r="L135" s="495"/>
      <c r="M135" s="490" t="s">
        <v>344</v>
      </c>
      <c r="N135" s="205"/>
      <c r="O135" s="205"/>
      <c r="P135" s="205"/>
      <c r="Q135" s="205"/>
      <c r="R135" s="207"/>
      <c r="S135" s="206"/>
      <c r="T135" s="206"/>
    </row>
    <row r="136" spans="2:20" x14ac:dyDescent="0.3">
      <c r="B136" s="204"/>
      <c r="C136" s="494"/>
      <c r="D136" s="490"/>
      <c r="E136" s="389">
        <f>G119</f>
        <v>150</v>
      </c>
      <c r="F136" s="389" t="s">
        <v>12</v>
      </c>
      <c r="G136" s="209">
        <f>I119</f>
        <v>0.89886480908152733</v>
      </c>
      <c r="H136" s="389" t="s">
        <v>12</v>
      </c>
      <c r="I136" s="389">
        <f>K119</f>
        <v>200</v>
      </c>
      <c r="J136" s="490"/>
      <c r="K136" s="495"/>
      <c r="L136" s="495"/>
      <c r="M136" s="490"/>
      <c r="N136" s="205"/>
      <c r="O136" s="205"/>
      <c r="P136" s="205"/>
      <c r="Q136" s="205"/>
      <c r="R136" s="207"/>
      <c r="S136" s="206"/>
      <c r="T136" s="206"/>
    </row>
    <row r="137" spans="2:20" x14ac:dyDescent="0.3">
      <c r="B137" s="204"/>
      <c r="C137" s="490" t="s">
        <v>152</v>
      </c>
      <c r="D137" s="490"/>
      <c r="E137" s="490"/>
      <c r="F137" s="490"/>
      <c r="G137" s="490"/>
      <c r="H137" s="490"/>
      <c r="I137" s="490"/>
      <c r="J137" s="488" t="s">
        <v>15</v>
      </c>
      <c r="K137" s="208">
        <v>0.3</v>
      </c>
      <c r="L137" s="495" t="s">
        <v>112</v>
      </c>
      <c r="M137" s="490">
        <f>I69</f>
        <v>250</v>
      </c>
      <c r="N137" s="495" t="s">
        <v>12</v>
      </c>
      <c r="O137" s="495">
        <v>1000</v>
      </c>
      <c r="P137" s="495" t="s">
        <v>34</v>
      </c>
      <c r="Q137" s="495">
        <f>K137/K138*(M137*O137)</f>
        <v>750</v>
      </c>
      <c r="R137" s="495"/>
      <c r="S137" s="490" t="s">
        <v>344</v>
      </c>
      <c r="T137" s="206"/>
    </row>
    <row r="138" spans="2:20" x14ac:dyDescent="0.3">
      <c r="B138" s="204"/>
      <c r="C138" s="490"/>
      <c r="D138" s="490"/>
      <c r="E138" s="490"/>
      <c r="F138" s="490"/>
      <c r="G138" s="490"/>
      <c r="H138" s="490"/>
      <c r="I138" s="490"/>
      <c r="J138" s="490"/>
      <c r="K138" s="210">
        <v>100</v>
      </c>
      <c r="L138" s="495"/>
      <c r="M138" s="490"/>
      <c r="N138" s="495"/>
      <c r="O138" s="495"/>
      <c r="P138" s="495"/>
      <c r="Q138" s="495"/>
      <c r="R138" s="495"/>
      <c r="S138" s="490"/>
      <c r="T138" s="206"/>
    </row>
    <row r="139" spans="2:20" ht="12.75" customHeight="1" x14ac:dyDescent="0.3">
      <c r="B139" s="204"/>
      <c r="C139" s="494" t="s">
        <v>153</v>
      </c>
      <c r="D139" s="494"/>
      <c r="E139" s="494"/>
      <c r="F139" s="494"/>
      <c r="G139" s="494"/>
      <c r="H139" s="494"/>
      <c r="I139" s="494"/>
      <c r="J139" s="494"/>
      <c r="K139" s="494"/>
      <c r="L139" s="494"/>
      <c r="M139" s="494"/>
      <c r="N139" s="211" t="s">
        <v>15</v>
      </c>
      <c r="O139" s="208">
        <f>Q137/2</f>
        <v>375</v>
      </c>
      <c r="P139" s="206" t="s">
        <v>355</v>
      </c>
      <c r="Q139" s="208"/>
      <c r="R139" s="208"/>
      <c r="S139" s="207"/>
      <c r="T139" s="206"/>
    </row>
    <row r="140" spans="2:20" ht="16.2" x14ac:dyDescent="0.3">
      <c r="B140" s="204"/>
      <c r="C140" s="494" t="s">
        <v>113</v>
      </c>
      <c r="D140" s="494"/>
      <c r="E140" s="494"/>
      <c r="F140" s="494"/>
      <c r="G140" s="494"/>
      <c r="H140" s="494"/>
      <c r="I140" s="207">
        <f>Q137-O139</f>
        <v>375</v>
      </c>
      <c r="J140" s="390" t="s">
        <v>356</v>
      </c>
      <c r="K140" s="208"/>
      <c r="L140" s="208"/>
      <c r="M140" s="207"/>
      <c r="N140" s="208"/>
      <c r="O140" s="208"/>
      <c r="P140" s="206"/>
      <c r="Q140" s="208"/>
      <c r="R140" s="208"/>
      <c r="S140" s="207"/>
      <c r="T140" s="206"/>
    </row>
    <row r="141" spans="2:20" ht="16.2" x14ac:dyDescent="0.3">
      <c r="B141" s="204"/>
      <c r="C141" s="207" t="s">
        <v>154</v>
      </c>
      <c r="D141" s="207" t="s">
        <v>25</v>
      </c>
      <c r="E141" s="390" t="s">
        <v>114</v>
      </c>
      <c r="F141" s="207"/>
      <c r="G141" s="207"/>
      <c r="H141" s="207"/>
      <c r="I141" s="207"/>
      <c r="J141" s="490">
        <f>I140</f>
        <v>375</v>
      </c>
      <c r="K141" s="490"/>
      <c r="L141" s="208" t="s">
        <v>312</v>
      </c>
      <c r="M141" s="207"/>
      <c r="N141" s="208"/>
      <c r="O141" s="208"/>
      <c r="P141" s="208"/>
      <c r="Q141" s="208"/>
      <c r="R141" s="208"/>
      <c r="S141" s="207"/>
      <c r="T141" s="206"/>
    </row>
    <row r="142" spans="2:20" ht="16.2" x14ac:dyDescent="0.3">
      <c r="B142" s="204"/>
      <c r="C142" s="494" t="s">
        <v>86</v>
      </c>
      <c r="D142" s="490">
        <v>12</v>
      </c>
      <c r="E142" s="490" t="s">
        <v>87</v>
      </c>
      <c r="F142" s="490"/>
      <c r="G142" s="490" t="s">
        <v>39</v>
      </c>
      <c r="H142" s="488" t="s">
        <v>15</v>
      </c>
      <c r="I142" s="391" t="s">
        <v>357</v>
      </c>
      <c r="J142" s="391"/>
      <c r="K142" s="392"/>
      <c r="L142" s="488" t="s">
        <v>15</v>
      </c>
      <c r="M142" s="391">
        <v>3.14</v>
      </c>
      <c r="N142" s="393" t="s">
        <v>12</v>
      </c>
      <c r="O142" s="393">
        <f>D142</f>
        <v>12</v>
      </c>
      <c r="P142" s="393" t="s">
        <v>12</v>
      </c>
      <c r="Q142" s="393">
        <f>D142</f>
        <v>12</v>
      </c>
      <c r="R142" s="488" t="s">
        <v>15</v>
      </c>
      <c r="S142" s="489">
        <f>M142*O142*Q142/4</f>
        <v>113.03999999999999</v>
      </c>
      <c r="T142" s="490" t="s">
        <v>344</v>
      </c>
    </row>
    <row r="143" spans="2:20" x14ac:dyDescent="0.3">
      <c r="B143" s="204"/>
      <c r="C143" s="494"/>
      <c r="D143" s="490"/>
      <c r="E143" s="490"/>
      <c r="F143" s="490"/>
      <c r="G143" s="490"/>
      <c r="H143" s="488"/>
      <c r="I143" s="394" t="s">
        <v>155</v>
      </c>
      <c r="J143" s="394"/>
      <c r="K143" s="392"/>
      <c r="L143" s="488"/>
      <c r="M143" s="392"/>
      <c r="N143" s="392">
        <v>4</v>
      </c>
      <c r="O143" s="394" t="s">
        <v>12</v>
      </c>
      <c r="P143" s="491">
        <v>100</v>
      </c>
      <c r="Q143" s="491"/>
      <c r="R143" s="488"/>
      <c r="S143" s="489"/>
      <c r="T143" s="490"/>
    </row>
    <row r="144" spans="2:20" x14ac:dyDescent="0.3">
      <c r="B144" s="204"/>
      <c r="C144" s="204"/>
      <c r="D144" s="395"/>
      <c r="E144" s="395"/>
      <c r="F144" s="395" t="s">
        <v>89</v>
      </c>
      <c r="G144" s="396">
        <v>1000</v>
      </c>
      <c r="H144" s="394" t="s">
        <v>12</v>
      </c>
      <c r="I144" s="397">
        <f>S142</f>
        <v>113.03999999999999</v>
      </c>
      <c r="J144" s="394" t="s">
        <v>23</v>
      </c>
      <c r="K144" s="396">
        <f>J141</f>
        <v>375</v>
      </c>
      <c r="L144" s="398" t="s">
        <v>15</v>
      </c>
      <c r="M144" s="396">
        <f>G144*I144/K144</f>
        <v>301.43999999999994</v>
      </c>
      <c r="N144" s="399"/>
      <c r="O144" s="392" t="s">
        <v>90</v>
      </c>
      <c r="P144" s="398" t="s">
        <v>15</v>
      </c>
      <c r="Q144" s="396">
        <f>ROUNDDOWN(M144,-1)</f>
        <v>300</v>
      </c>
      <c r="R144" s="392" t="s">
        <v>17</v>
      </c>
      <c r="S144" s="392"/>
      <c r="T144" s="392"/>
    </row>
    <row r="145" spans="2:20" x14ac:dyDescent="0.3">
      <c r="B145" s="204"/>
      <c r="C145" s="204"/>
      <c r="D145" s="395" t="s">
        <v>91</v>
      </c>
      <c r="E145" s="212">
        <f>D142</f>
        <v>12</v>
      </c>
      <c r="F145" s="400" t="s">
        <v>364</v>
      </c>
      <c r="G145" s="204"/>
      <c r="H145" s="396"/>
      <c r="I145" s="401">
        <f>Q144</f>
        <v>300</v>
      </c>
      <c r="J145" s="392" t="s">
        <v>115</v>
      </c>
      <c r="K145" s="392"/>
      <c r="L145" s="392"/>
      <c r="M145" s="392"/>
      <c r="N145" s="392"/>
      <c r="O145" s="392"/>
      <c r="P145" s="392"/>
      <c r="Q145" s="392"/>
      <c r="R145" s="392"/>
      <c r="S145" s="204"/>
      <c r="T145" s="204"/>
    </row>
    <row r="146" spans="2:20" x14ac:dyDescent="0.3">
      <c r="B146" s="108"/>
      <c r="C146" s="293"/>
      <c r="D146" s="294"/>
      <c r="E146" s="295"/>
      <c r="F146" s="294"/>
      <c r="G146" s="188"/>
      <c r="H146" s="296"/>
      <c r="I146" s="294"/>
      <c r="J146" s="294"/>
      <c r="K146" s="188"/>
      <c r="L146" s="294"/>
      <c r="M146" s="294"/>
      <c r="N146" s="188"/>
      <c r="O146" s="188"/>
      <c r="P146" s="188"/>
      <c r="Q146" s="188"/>
      <c r="R146" s="295"/>
      <c r="S146" s="294"/>
      <c r="T146" s="294"/>
    </row>
    <row r="147" spans="2:20" ht="18" x14ac:dyDescent="0.35">
      <c r="B147" s="459" t="s">
        <v>156</v>
      </c>
      <c r="C147" s="459"/>
      <c r="D147" s="459"/>
      <c r="E147" s="459"/>
      <c r="F147" s="459"/>
      <c r="G147" s="459"/>
      <c r="H147" s="459"/>
      <c r="I147" s="459"/>
      <c r="J147" s="459"/>
      <c r="K147" s="459"/>
      <c r="L147" s="459"/>
      <c r="M147" s="459"/>
      <c r="N147" s="459"/>
      <c r="O147" s="459"/>
      <c r="P147" s="459"/>
      <c r="Q147" s="459"/>
      <c r="R147" s="459"/>
      <c r="S147" s="459"/>
      <c r="T147" s="459"/>
    </row>
    <row r="148" spans="2:20" x14ac:dyDescent="0.3">
      <c r="B148" s="213"/>
      <c r="C148" s="460" t="s">
        <v>320</v>
      </c>
      <c r="D148" s="460"/>
      <c r="E148" s="460"/>
      <c r="F148" s="460"/>
      <c r="G148" s="460"/>
      <c r="H148" s="242">
        <v>150</v>
      </c>
      <c r="I148" s="402" t="s">
        <v>116</v>
      </c>
      <c r="J148" s="402"/>
      <c r="K148" s="213"/>
      <c r="L148" s="213"/>
      <c r="M148" s="402"/>
      <c r="N148" s="214"/>
      <c r="O148" s="214"/>
      <c r="P148" s="214"/>
      <c r="Q148" s="214"/>
      <c r="R148" s="403"/>
      <c r="S148" s="402"/>
      <c r="T148" s="402"/>
    </row>
    <row r="149" spans="2:20" x14ac:dyDescent="0.3">
      <c r="B149" s="213"/>
      <c r="C149" s="402" t="s">
        <v>321</v>
      </c>
      <c r="D149" s="402"/>
      <c r="E149" s="403"/>
      <c r="F149" s="402"/>
      <c r="G149" s="404">
        <v>0.2</v>
      </c>
      <c r="H149" s="402" t="s">
        <v>117</v>
      </c>
      <c r="I149" s="402"/>
      <c r="J149" s="402"/>
      <c r="K149" s="215"/>
      <c r="L149" s="402"/>
      <c r="M149" s="402"/>
      <c r="N149" s="214"/>
      <c r="O149" s="214"/>
      <c r="P149" s="214"/>
      <c r="Q149" s="214"/>
      <c r="R149" s="403"/>
      <c r="S149" s="402"/>
      <c r="T149" s="402"/>
    </row>
    <row r="150" spans="2:20" x14ac:dyDescent="0.3">
      <c r="B150" s="213"/>
      <c r="C150" s="482" t="s">
        <v>118</v>
      </c>
      <c r="D150" s="402"/>
      <c r="E150" s="405">
        <f>G149</f>
        <v>0.2</v>
      </c>
      <c r="F150" s="403" t="s">
        <v>12</v>
      </c>
      <c r="G150" s="403">
        <v>1000</v>
      </c>
      <c r="H150" s="402" t="s">
        <v>12</v>
      </c>
      <c r="I150" s="403">
        <f>H148</f>
        <v>150</v>
      </c>
      <c r="J150" s="480" t="s">
        <v>15</v>
      </c>
      <c r="K150" s="492">
        <f>E150*G150*I150/E151</f>
        <v>300</v>
      </c>
      <c r="L150" s="492"/>
      <c r="M150" s="482" t="s">
        <v>344</v>
      </c>
      <c r="N150" s="214"/>
      <c r="O150" s="214"/>
      <c r="P150" s="214"/>
      <c r="Q150" s="214"/>
      <c r="R150" s="403"/>
      <c r="S150" s="402"/>
      <c r="T150" s="402"/>
    </row>
    <row r="151" spans="2:20" ht="15" customHeight="1" x14ac:dyDescent="0.3">
      <c r="B151" s="213"/>
      <c r="C151" s="482"/>
      <c r="D151" s="402"/>
      <c r="E151" s="493">
        <v>100</v>
      </c>
      <c r="F151" s="493"/>
      <c r="G151" s="493"/>
      <c r="H151" s="493"/>
      <c r="I151" s="493"/>
      <c r="J151" s="482"/>
      <c r="K151" s="492"/>
      <c r="L151" s="492"/>
      <c r="M151" s="482"/>
      <c r="N151" s="214"/>
      <c r="O151" s="214"/>
      <c r="P151" s="214"/>
      <c r="Q151" s="214"/>
      <c r="R151" s="403"/>
      <c r="S151" s="402"/>
      <c r="T151" s="402"/>
    </row>
    <row r="152" spans="2:20" ht="16.2" x14ac:dyDescent="0.3">
      <c r="B152" s="213"/>
      <c r="C152" s="460" t="s">
        <v>86</v>
      </c>
      <c r="D152" s="482">
        <v>10</v>
      </c>
      <c r="E152" s="482" t="s">
        <v>87</v>
      </c>
      <c r="F152" s="482"/>
      <c r="G152" s="482" t="s">
        <v>39</v>
      </c>
      <c r="H152" s="480" t="s">
        <v>15</v>
      </c>
      <c r="I152" s="406" t="s">
        <v>348</v>
      </c>
      <c r="J152" s="406"/>
      <c r="K152" s="407"/>
      <c r="L152" s="480" t="s">
        <v>15</v>
      </c>
      <c r="M152" s="406">
        <v>3.14</v>
      </c>
      <c r="N152" s="408" t="s">
        <v>12</v>
      </c>
      <c r="O152" s="408">
        <f>D152</f>
        <v>10</v>
      </c>
      <c r="P152" s="408" t="s">
        <v>12</v>
      </c>
      <c r="Q152" s="408">
        <f>D152</f>
        <v>10</v>
      </c>
      <c r="R152" s="480" t="s">
        <v>15</v>
      </c>
      <c r="S152" s="481">
        <f>M152*O152*Q152/4</f>
        <v>78.5</v>
      </c>
      <c r="T152" s="482" t="s">
        <v>344</v>
      </c>
    </row>
    <row r="153" spans="2:20" x14ac:dyDescent="0.3">
      <c r="B153" s="213"/>
      <c r="C153" s="460"/>
      <c r="D153" s="482"/>
      <c r="E153" s="482"/>
      <c r="F153" s="482"/>
      <c r="G153" s="482"/>
      <c r="H153" s="480"/>
      <c r="I153" s="409" t="s">
        <v>88</v>
      </c>
      <c r="J153" s="409"/>
      <c r="K153" s="407"/>
      <c r="L153" s="480"/>
      <c r="M153" s="407"/>
      <c r="N153" s="407">
        <v>4</v>
      </c>
      <c r="O153" s="409" t="s">
        <v>12</v>
      </c>
      <c r="P153" s="483">
        <v>100</v>
      </c>
      <c r="Q153" s="483"/>
      <c r="R153" s="480"/>
      <c r="S153" s="481"/>
      <c r="T153" s="482"/>
    </row>
    <row r="154" spans="2:20" x14ac:dyDescent="0.3">
      <c r="B154" s="213"/>
      <c r="C154" s="213"/>
      <c r="D154" s="410"/>
      <c r="E154" s="410"/>
      <c r="F154" s="410" t="s">
        <v>89</v>
      </c>
      <c r="G154" s="411">
        <v>1000</v>
      </c>
      <c r="H154" s="409" t="s">
        <v>12</v>
      </c>
      <c r="I154" s="412">
        <f>S152</f>
        <v>78.5</v>
      </c>
      <c r="J154" s="409" t="s">
        <v>23</v>
      </c>
      <c r="K154" s="411">
        <f>K150</f>
        <v>300</v>
      </c>
      <c r="L154" s="413" t="s">
        <v>15</v>
      </c>
      <c r="M154" s="411">
        <f>G154*I154/K154</f>
        <v>261.66666666666669</v>
      </c>
      <c r="N154" s="414"/>
      <c r="O154" s="407" t="s">
        <v>90</v>
      </c>
      <c r="P154" s="413" t="s">
        <v>15</v>
      </c>
      <c r="Q154" s="411">
        <f>ROUNDDOWN(M154,-1)</f>
        <v>260</v>
      </c>
      <c r="R154" s="407" t="s">
        <v>17</v>
      </c>
      <c r="S154" s="407"/>
      <c r="T154" s="407"/>
    </row>
    <row r="155" spans="2:20" x14ac:dyDescent="0.3">
      <c r="B155" s="213"/>
      <c r="C155" s="213"/>
      <c r="D155" s="410" t="s">
        <v>91</v>
      </c>
      <c r="E155" s="216">
        <f>D152</f>
        <v>10</v>
      </c>
      <c r="F155" s="461" t="s">
        <v>364</v>
      </c>
      <c r="G155" s="461"/>
      <c r="H155" s="461"/>
      <c r="I155" s="415">
        <f>Q154</f>
        <v>260</v>
      </c>
      <c r="J155" s="407" t="s">
        <v>119</v>
      </c>
      <c r="K155" s="407"/>
      <c r="L155" s="407"/>
      <c r="M155" s="407"/>
      <c r="N155" s="407"/>
      <c r="O155" s="407"/>
      <c r="P155" s="407"/>
      <c r="Q155" s="407"/>
      <c r="R155" s="407"/>
      <c r="S155" s="213"/>
      <c r="T155" s="213"/>
    </row>
    <row r="156" spans="2:20" x14ac:dyDescent="0.3">
      <c r="B156" s="213"/>
      <c r="C156" s="402"/>
      <c r="D156" s="402"/>
      <c r="E156" s="403"/>
      <c r="F156" s="402"/>
      <c r="G156" s="215"/>
      <c r="H156" s="402"/>
      <c r="I156" s="402"/>
      <c r="J156" s="402"/>
      <c r="K156" s="215"/>
      <c r="L156" s="402"/>
      <c r="M156" s="402"/>
      <c r="N156" s="214"/>
      <c r="O156" s="214"/>
      <c r="P156" s="214"/>
      <c r="Q156" s="214"/>
      <c r="R156" s="403"/>
      <c r="S156" s="402"/>
      <c r="T156" s="402"/>
    </row>
    <row r="157" spans="2:20" x14ac:dyDescent="0.3">
      <c r="B157" s="213"/>
      <c r="C157" s="416"/>
      <c r="D157" s="402"/>
      <c r="E157" s="403"/>
      <c r="F157" s="402"/>
      <c r="G157" s="214"/>
      <c r="H157" s="417"/>
      <c r="I157" s="402"/>
      <c r="J157" s="402"/>
      <c r="K157" s="214"/>
      <c r="L157" s="402"/>
      <c r="M157" s="402"/>
      <c r="N157" s="214"/>
      <c r="O157" s="214"/>
      <c r="P157" s="214"/>
      <c r="Q157" s="214"/>
      <c r="R157" s="403"/>
      <c r="S157" s="402"/>
      <c r="T157" s="402"/>
    </row>
    <row r="158" spans="2:20" x14ac:dyDescent="0.3">
      <c r="B158" s="108"/>
      <c r="C158" s="293"/>
      <c r="D158" s="294"/>
      <c r="E158" s="418"/>
      <c r="F158" s="294"/>
      <c r="G158" s="188"/>
      <c r="H158" s="296"/>
      <c r="I158" s="294"/>
      <c r="J158" s="294"/>
      <c r="K158" s="188"/>
      <c r="L158" s="294"/>
      <c r="M158" s="294"/>
      <c r="N158" s="188"/>
      <c r="O158" s="188"/>
      <c r="P158" s="188"/>
      <c r="Q158" s="188"/>
      <c r="R158" s="295"/>
      <c r="S158" s="294"/>
      <c r="T158" s="294"/>
    </row>
    <row r="159" spans="2:20" ht="18" x14ac:dyDescent="0.35">
      <c r="B159" s="458" t="s">
        <v>241</v>
      </c>
      <c r="C159" s="458"/>
      <c r="D159" s="458"/>
      <c r="E159" s="458"/>
      <c r="F159" s="458"/>
      <c r="G159" s="458"/>
      <c r="H159" s="458"/>
      <c r="I159" s="458"/>
      <c r="J159" s="458"/>
      <c r="K159" s="458"/>
      <c r="L159" s="458"/>
      <c r="M159" s="458"/>
      <c r="N159" s="458"/>
      <c r="O159" s="458"/>
      <c r="P159" s="458"/>
      <c r="Q159" s="458"/>
      <c r="R159" s="458"/>
      <c r="S159" s="458"/>
      <c r="T159" s="458"/>
    </row>
    <row r="160" spans="2:20" x14ac:dyDescent="0.3">
      <c r="B160" s="217"/>
      <c r="C160" s="218"/>
      <c r="D160" s="419"/>
      <c r="E160" s="420"/>
      <c r="F160" s="419"/>
      <c r="G160" s="219"/>
      <c r="H160" s="421"/>
      <c r="I160" s="419"/>
      <c r="J160" s="419"/>
      <c r="K160" s="219"/>
      <c r="L160" s="419"/>
      <c r="M160" s="419"/>
      <c r="N160" s="219"/>
      <c r="O160" s="219"/>
      <c r="P160" s="219"/>
      <c r="Q160" s="219"/>
      <c r="R160" s="420"/>
      <c r="S160" s="419"/>
      <c r="T160" s="419"/>
    </row>
    <row r="161" spans="2:20" x14ac:dyDescent="0.3">
      <c r="B161" s="217"/>
      <c r="C161" s="422" t="s">
        <v>242</v>
      </c>
      <c r="D161" s="423">
        <f>K22</f>
        <v>3</v>
      </c>
      <c r="E161" s="420" t="str">
        <f>L22</f>
        <v>&gt;</v>
      </c>
      <c r="F161" s="420">
        <f>M22</f>
        <v>2</v>
      </c>
      <c r="G161" s="219" t="s">
        <v>243</v>
      </c>
      <c r="H161" s="421"/>
      <c r="I161" s="419"/>
      <c r="J161" s="419"/>
      <c r="K161" s="219"/>
      <c r="L161" s="419"/>
      <c r="M161" s="419"/>
      <c r="N161" s="219"/>
      <c r="O161" s="219"/>
      <c r="P161" s="219"/>
      <c r="Q161" s="219"/>
      <c r="R161" s="420"/>
      <c r="S161" s="419"/>
      <c r="T161" s="419"/>
    </row>
    <row r="162" spans="2:20" ht="16.2" x14ac:dyDescent="0.3">
      <c r="B162" s="217"/>
      <c r="C162" s="419" t="s">
        <v>358</v>
      </c>
      <c r="D162" s="419"/>
      <c r="E162" s="420"/>
      <c r="F162" s="419"/>
      <c r="G162" s="219"/>
      <c r="H162" s="421"/>
      <c r="I162" s="419"/>
      <c r="J162" s="419"/>
      <c r="K162" s="219"/>
      <c r="L162" s="419"/>
      <c r="M162" s="419"/>
      <c r="N162" s="220" t="s">
        <v>296</v>
      </c>
      <c r="O162" s="219">
        <v>200</v>
      </c>
      <c r="P162" s="219" t="s">
        <v>17</v>
      </c>
      <c r="Q162" s="219"/>
      <c r="R162" s="420"/>
      <c r="S162" s="419"/>
      <c r="T162" s="419"/>
    </row>
    <row r="163" spans="2:20" ht="16.2" x14ac:dyDescent="0.3">
      <c r="B163" s="424"/>
      <c r="C163" s="419" t="s">
        <v>359</v>
      </c>
      <c r="D163" s="419"/>
      <c r="E163" s="420"/>
      <c r="F163" s="419"/>
      <c r="G163" s="219"/>
      <c r="H163" s="421"/>
      <c r="I163" s="425" t="s">
        <v>261</v>
      </c>
      <c r="J163" s="419"/>
      <c r="K163" s="219"/>
      <c r="L163" s="419">
        <v>7000</v>
      </c>
      <c r="M163" s="419" t="s">
        <v>360</v>
      </c>
      <c r="N163" s="219"/>
      <c r="O163" s="219"/>
      <c r="P163" s="219"/>
      <c r="Q163" s="219"/>
      <c r="R163" s="420"/>
      <c r="S163" s="419"/>
      <c r="T163" s="419"/>
    </row>
    <row r="164" spans="2:20" x14ac:dyDescent="0.3">
      <c r="B164" s="217"/>
      <c r="C164" s="219" t="s">
        <v>244</v>
      </c>
      <c r="D164" s="219"/>
      <c r="E164" s="219"/>
      <c r="F164" s="221"/>
      <c r="G164" s="219"/>
      <c r="H164" s="219"/>
      <c r="I164" s="220"/>
      <c r="J164" s="219"/>
      <c r="K164" s="219"/>
      <c r="L164" s="219"/>
      <c r="M164" s="219"/>
      <c r="N164" s="219"/>
      <c r="O164" s="219"/>
      <c r="P164" s="219"/>
      <c r="Q164" s="219"/>
      <c r="R164" s="219"/>
      <c r="S164" s="219"/>
      <c r="T164" s="219"/>
    </row>
    <row r="165" spans="2:20" ht="16.2" customHeight="1" x14ac:dyDescent="0.3">
      <c r="B165" s="217"/>
      <c r="C165" s="479" t="s">
        <v>246</v>
      </c>
      <c r="D165" s="472" t="s">
        <v>245</v>
      </c>
      <c r="E165" s="222"/>
      <c r="F165" s="472" t="s">
        <v>15</v>
      </c>
      <c r="G165" s="223">
        <f>L163</f>
        <v>7000</v>
      </c>
      <c r="H165" s="224" t="s">
        <v>248</v>
      </c>
      <c r="I165" s="431">
        <f>I5</f>
        <v>2.8867513459481291</v>
      </c>
      <c r="J165" s="223" t="s">
        <v>20</v>
      </c>
      <c r="K165" s="432">
        <f>I69/1000</f>
        <v>0.25</v>
      </c>
      <c r="L165" s="224" t="s">
        <v>313</v>
      </c>
      <c r="M165" s="472" t="s">
        <v>15</v>
      </c>
      <c r="N165" s="225">
        <f>G165*(I165+K165)^2/I166</f>
        <v>8609.3078805189743</v>
      </c>
      <c r="O165" s="219" t="s">
        <v>35</v>
      </c>
      <c r="P165" s="219"/>
      <c r="Q165" s="226"/>
      <c r="R165" s="226"/>
      <c r="S165" s="219"/>
      <c r="T165" s="219"/>
    </row>
    <row r="166" spans="2:20" x14ac:dyDescent="0.3">
      <c r="B166" s="217"/>
      <c r="C166" s="479"/>
      <c r="D166" s="472"/>
      <c r="E166" s="219"/>
      <c r="F166" s="472"/>
      <c r="G166" s="217"/>
      <c r="H166" s="219"/>
      <c r="I166" s="227">
        <v>8</v>
      </c>
      <c r="J166" s="228"/>
      <c r="K166" s="220"/>
      <c r="L166" s="221"/>
      <c r="M166" s="472"/>
      <c r="N166" s="219"/>
      <c r="O166" s="219"/>
      <c r="P166" s="219"/>
      <c r="Q166" s="219"/>
      <c r="R166" s="219"/>
      <c r="S166" s="219"/>
      <c r="T166" s="219"/>
    </row>
    <row r="167" spans="2:20" x14ac:dyDescent="0.3">
      <c r="B167" s="217"/>
      <c r="C167" s="219"/>
      <c r="D167" s="219"/>
      <c r="E167" s="217"/>
      <c r="F167" s="219"/>
      <c r="G167" s="219"/>
      <c r="H167" s="219"/>
      <c r="I167" s="219"/>
      <c r="J167" s="219"/>
      <c r="K167" s="219"/>
      <c r="L167" s="219"/>
      <c r="M167" s="219"/>
      <c r="N167" s="219"/>
      <c r="O167" s="219"/>
      <c r="P167" s="219"/>
      <c r="Q167" s="219"/>
      <c r="R167" s="219"/>
      <c r="S167" s="219"/>
      <c r="T167" s="219"/>
    </row>
    <row r="168" spans="2:20" x14ac:dyDescent="0.3">
      <c r="B168" s="217"/>
      <c r="C168" s="473" t="s">
        <v>249</v>
      </c>
      <c r="D168" s="219"/>
      <c r="E168" s="217"/>
      <c r="F168" s="472" t="s">
        <v>15</v>
      </c>
      <c r="G168" s="229">
        <f>N165</f>
        <v>8609.3078805189743</v>
      </c>
      <c r="H168" s="219"/>
      <c r="I168" s="472" t="s">
        <v>15</v>
      </c>
      <c r="J168" s="471">
        <f>N168</f>
        <v>95.046837079093507</v>
      </c>
      <c r="K168" s="471"/>
      <c r="L168" s="471" t="s">
        <v>17</v>
      </c>
      <c r="M168" s="471" t="s">
        <v>15</v>
      </c>
      <c r="N168" s="225">
        <f>SQRT(N165/M19)</f>
        <v>95.046837079093507</v>
      </c>
      <c r="O168" s="219" t="s">
        <v>17</v>
      </c>
      <c r="P168" s="219"/>
      <c r="Q168" s="219"/>
      <c r="R168" s="219"/>
      <c r="S168" s="219"/>
      <c r="T168" s="219"/>
    </row>
    <row r="169" spans="2:20" x14ac:dyDescent="0.3">
      <c r="B169" s="217"/>
      <c r="C169" s="473"/>
      <c r="D169" s="219"/>
      <c r="E169" s="217"/>
      <c r="F169" s="472"/>
      <c r="G169" s="230">
        <f>M19</f>
        <v>0.95299999999999996</v>
      </c>
      <c r="H169" s="219"/>
      <c r="I169" s="472"/>
      <c r="J169" s="471"/>
      <c r="K169" s="471"/>
      <c r="L169" s="471"/>
      <c r="M169" s="471"/>
      <c r="N169" s="219"/>
      <c r="O169" s="219"/>
      <c r="P169" s="219"/>
      <c r="Q169" s="219"/>
      <c r="R169" s="219"/>
      <c r="S169" s="219"/>
      <c r="T169" s="219"/>
    </row>
    <row r="170" spans="2:20" x14ac:dyDescent="0.3">
      <c r="B170" s="217"/>
      <c r="C170" s="219"/>
      <c r="D170" s="219"/>
      <c r="E170" s="219"/>
      <c r="F170" s="219"/>
      <c r="G170" s="219"/>
      <c r="H170" s="219"/>
      <c r="I170" s="219"/>
      <c r="J170" s="219"/>
      <c r="K170" s="219"/>
      <c r="L170" s="219"/>
      <c r="M170" s="219"/>
      <c r="N170" s="219"/>
      <c r="O170" s="219"/>
      <c r="P170" s="219"/>
      <c r="Q170" s="219"/>
      <c r="R170" s="219"/>
      <c r="S170" s="219"/>
      <c r="T170" s="219"/>
    </row>
    <row r="171" spans="2:20" x14ac:dyDescent="0.3">
      <c r="B171" s="471" t="s">
        <v>250</v>
      </c>
      <c r="C171" s="471"/>
      <c r="D171" s="471"/>
      <c r="E171" s="471"/>
      <c r="F171" s="220">
        <f>ROUNDUP((N168+10),-1)</f>
        <v>110</v>
      </c>
      <c r="G171" s="219" t="s">
        <v>251</v>
      </c>
      <c r="H171" s="219"/>
      <c r="I171" s="219"/>
      <c r="J171" s="219"/>
      <c r="K171" s="220">
        <v>25</v>
      </c>
      <c r="L171" s="219" t="s">
        <v>252</v>
      </c>
      <c r="M171" s="219"/>
      <c r="N171" s="220">
        <v>12</v>
      </c>
      <c r="O171" s="471" t="s">
        <v>361</v>
      </c>
      <c r="P171" s="471"/>
      <c r="Q171" s="471"/>
      <c r="R171" s="231">
        <f>F171-K171-N171/2</f>
        <v>79</v>
      </c>
      <c r="S171" s="219" t="s">
        <v>253</v>
      </c>
      <c r="T171" s="219"/>
    </row>
    <row r="172" spans="2:20" ht="16.2" x14ac:dyDescent="0.3">
      <c r="B172" s="217"/>
      <c r="C172" s="219"/>
      <c r="D172" s="219"/>
      <c r="E172" s="219"/>
      <c r="F172" s="219" t="s">
        <v>314</v>
      </c>
      <c r="G172" s="223">
        <f>N165</f>
        <v>8609.3078805189743</v>
      </c>
      <c r="H172" s="232" t="s">
        <v>247</v>
      </c>
      <c r="I172" s="232">
        <v>1000</v>
      </c>
      <c r="J172" s="223"/>
      <c r="K172" s="223"/>
      <c r="L172" s="221" t="s">
        <v>15</v>
      </c>
      <c r="M172" s="219">
        <f>G172*I172/(G173*I173*K173)</f>
        <v>1102.0182097892907</v>
      </c>
      <c r="N172" s="219" t="s">
        <v>315</v>
      </c>
      <c r="O172" s="219"/>
      <c r="P172" s="219"/>
      <c r="Q172" s="219"/>
      <c r="R172" s="219"/>
      <c r="S172" s="219"/>
      <c r="T172" s="219"/>
    </row>
    <row r="173" spans="2:20" x14ac:dyDescent="0.3">
      <c r="B173" s="217"/>
      <c r="C173" s="219"/>
      <c r="D173" s="219"/>
      <c r="E173" s="219"/>
      <c r="F173" s="219"/>
      <c r="G173" s="219">
        <f>F171</f>
        <v>110</v>
      </c>
      <c r="H173" s="233" t="s">
        <v>247</v>
      </c>
      <c r="I173" s="234">
        <f>M18</f>
        <v>0.89900000000000002</v>
      </c>
      <c r="J173" s="219" t="s">
        <v>247</v>
      </c>
      <c r="K173" s="219">
        <f>R171</f>
        <v>79</v>
      </c>
      <c r="L173" s="219"/>
      <c r="M173" s="219"/>
      <c r="N173" s="219"/>
      <c r="O173" s="219"/>
      <c r="P173" s="219"/>
      <c r="Q173" s="219"/>
      <c r="R173" s="219"/>
      <c r="S173" s="219"/>
      <c r="T173" s="219"/>
    </row>
    <row r="174" spans="2:20" ht="16.2" x14ac:dyDescent="0.3">
      <c r="B174" s="217"/>
      <c r="C174" s="474" t="s">
        <v>86</v>
      </c>
      <c r="D174" s="475">
        <v>12</v>
      </c>
      <c r="E174" s="475" t="s">
        <v>87</v>
      </c>
      <c r="F174" s="475"/>
      <c r="G174" s="475" t="s">
        <v>39</v>
      </c>
      <c r="H174" s="476" t="s">
        <v>15</v>
      </c>
      <c r="I174" s="426" t="s">
        <v>362</v>
      </c>
      <c r="J174" s="426"/>
      <c r="K174" s="427"/>
      <c r="L174" s="476" t="s">
        <v>15</v>
      </c>
      <c r="M174" s="426">
        <v>3.14</v>
      </c>
      <c r="N174" s="428" t="s">
        <v>12</v>
      </c>
      <c r="O174" s="428">
        <f>D174</f>
        <v>12</v>
      </c>
      <c r="P174" s="428" t="s">
        <v>12</v>
      </c>
      <c r="Q174" s="428">
        <f>D174</f>
        <v>12</v>
      </c>
      <c r="R174" s="476" t="s">
        <v>15</v>
      </c>
      <c r="S174" s="477">
        <f>M174*O174*Q174/4</f>
        <v>113.03999999999999</v>
      </c>
      <c r="T174" s="475" t="s">
        <v>344</v>
      </c>
    </row>
    <row r="175" spans="2:20" x14ac:dyDescent="0.3">
      <c r="B175" s="217"/>
      <c r="C175" s="474"/>
      <c r="D175" s="475"/>
      <c r="E175" s="475"/>
      <c r="F175" s="475"/>
      <c r="G175" s="475"/>
      <c r="H175" s="476"/>
      <c r="I175" s="429" t="s">
        <v>260</v>
      </c>
      <c r="J175" s="429"/>
      <c r="K175" s="427"/>
      <c r="L175" s="476"/>
      <c r="M175" s="427"/>
      <c r="N175" s="427">
        <v>4</v>
      </c>
      <c r="O175" s="429" t="s">
        <v>12</v>
      </c>
      <c r="P175" s="478">
        <v>100</v>
      </c>
      <c r="Q175" s="478"/>
      <c r="R175" s="476"/>
      <c r="S175" s="477"/>
      <c r="T175" s="475"/>
    </row>
    <row r="176" spans="2:20" x14ac:dyDescent="0.3">
      <c r="B176" s="473" t="s">
        <v>254</v>
      </c>
      <c r="C176" s="473"/>
      <c r="D176" s="473"/>
      <c r="E176" s="473"/>
      <c r="F176" s="473"/>
      <c r="G176" s="220">
        <v>1000</v>
      </c>
      <c r="H176" s="220" t="s">
        <v>247</v>
      </c>
      <c r="I176" s="235">
        <f>S174</f>
        <v>113.03999999999999</v>
      </c>
      <c r="J176" s="220" t="s">
        <v>23</v>
      </c>
      <c r="K176" s="219">
        <f>M172</f>
        <v>1102.0182097892907</v>
      </c>
      <c r="L176" s="219" t="s">
        <v>15</v>
      </c>
      <c r="M176" s="219">
        <f>G176*I176/K176</f>
        <v>102.57543749809142</v>
      </c>
      <c r="N176" s="219" t="s">
        <v>255</v>
      </c>
      <c r="O176" s="219">
        <f>ROUNDUP(M176,-1)</f>
        <v>110</v>
      </c>
      <c r="P176" s="219" t="s">
        <v>17</v>
      </c>
      <c r="Q176" s="219"/>
      <c r="R176" s="219"/>
      <c r="S176" s="219"/>
      <c r="T176" s="219"/>
    </row>
    <row r="177" spans="2:20" x14ac:dyDescent="0.3">
      <c r="B177" s="217"/>
      <c r="C177" s="219"/>
      <c r="D177" s="219"/>
      <c r="E177" s="219"/>
      <c r="F177" s="219"/>
      <c r="G177" s="219"/>
      <c r="H177" s="219"/>
      <c r="I177" s="219"/>
      <c r="J177" s="219"/>
      <c r="K177" s="219"/>
      <c r="L177" s="219"/>
      <c r="M177" s="219"/>
      <c r="N177" s="219"/>
      <c r="O177" s="219"/>
      <c r="P177" s="219"/>
      <c r="Q177" s="219"/>
      <c r="R177" s="219"/>
      <c r="S177" s="219"/>
      <c r="T177" s="219"/>
    </row>
    <row r="178" spans="2:20" x14ac:dyDescent="0.3">
      <c r="B178" s="217"/>
      <c r="C178" s="222" t="s">
        <v>256</v>
      </c>
      <c r="D178" s="236">
        <f>D174</f>
        <v>12</v>
      </c>
      <c r="E178" s="471" t="s">
        <v>257</v>
      </c>
      <c r="F178" s="471"/>
      <c r="G178" s="220" t="s">
        <v>258</v>
      </c>
      <c r="H178" s="470">
        <f>O176</f>
        <v>110</v>
      </c>
      <c r="I178" s="470"/>
      <c r="J178" s="219" t="s">
        <v>259</v>
      </c>
      <c r="K178" s="220"/>
      <c r="L178" s="219"/>
      <c r="M178" s="219"/>
      <c r="N178" s="219"/>
      <c r="O178" s="219"/>
      <c r="P178" s="219"/>
      <c r="Q178" s="219"/>
      <c r="R178" s="219"/>
      <c r="S178" s="219"/>
      <c r="T178" s="219"/>
    </row>
    <row r="179" spans="2:20" x14ac:dyDescent="0.3">
      <c r="B179" s="217"/>
      <c r="C179" s="219"/>
      <c r="D179" s="219"/>
      <c r="E179" s="219"/>
      <c r="F179" s="219"/>
      <c r="G179" s="219"/>
      <c r="H179" s="219"/>
      <c r="I179" s="219"/>
      <c r="J179" s="219"/>
      <c r="K179" s="219"/>
      <c r="L179" s="219"/>
      <c r="M179" s="219"/>
      <c r="N179" s="219"/>
      <c r="O179" s="219"/>
      <c r="P179" s="219"/>
      <c r="Q179" s="219"/>
      <c r="R179" s="219"/>
      <c r="S179" s="219"/>
      <c r="T179" s="219"/>
    </row>
    <row r="180" spans="2:20" x14ac:dyDescent="0.3">
      <c r="B180" s="108"/>
      <c r="C180" s="188"/>
      <c r="D180" s="188"/>
      <c r="E180" s="188"/>
      <c r="F180" s="188"/>
      <c r="G180" s="188"/>
      <c r="H180" s="188"/>
      <c r="I180" s="188"/>
      <c r="J180" s="188"/>
      <c r="K180" s="188"/>
      <c r="L180" s="188"/>
      <c r="M180" s="188"/>
      <c r="N180" s="188"/>
      <c r="O180" s="188"/>
      <c r="P180" s="188"/>
      <c r="Q180" s="188"/>
      <c r="R180" s="188"/>
      <c r="S180" s="188"/>
      <c r="T180" s="188"/>
    </row>
    <row r="181" spans="2:20" x14ac:dyDescent="0.3">
      <c r="B181" s="108"/>
      <c r="C181" s="108"/>
      <c r="D181" s="108"/>
      <c r="E181" s="108"/>
      <c r="F181" s="108"/>
      <c r="G181" s="108"/>
      <c r="H181" s="108"/>
      <c r="I181" s="108"/>
      <c r="J181" s="108"/>
      <c r="K181" s="108"/>
      <c r="L181" s="108"/>
      <c r="M181" s="108"/>
      <c r="N181" s="108"/>
      <c r="O181" s="108"/>
      <c r="P181" s="108"/>
      <c r="Q181" s="108"/>
      <c r="R181" s="108"/>
      <c r="S181" s="108"/>
      <c r="T181" s="108"/>
    </row>
    <row r="182" spans="2:20" ht="21" x14ac:dyDescent="0.4">
      <c r="B182" s="462" t="s">
        <v>304</v>
      </c>
      <c r="C182" s="462"/>
      <c r="D182" s="462"/>
      <c r="E182" s="462"/>
      <c r="F182" s="462"/>
      <c r="G182" s="462"/>
      <c r="H182" s="462"/>
      <c r="I182" s="462"/>
      <c r="J182" s="462"/>
      <c r="K182" s="462"/>
      <c r="L182" s="462"/>
      <c r="M182" s="462"/>
      <c r="N182" s="462"/>
      <c r="O182" s="462"/>
      <c r="P182" s="462"/>
      <c r="Q182" s="462"/>
      <c r="R182" s="462"/>
      <c r="S182" s="462"/>
      <c r="T182" s="462"/>
    </row>
    <row r="183" spans="2:20" x14ac:dyDescent="0.3">
      <c r="B183" s="110"/>
      <c r="C183" s="110"/>
      <c r="D183" s="110"/>
      <c r="E183" s="110"/>
      <c r="F183" s="110"/>
      <c r="G183" s="110"/>
      <c r="H183" s="110"/>
      <c r="I183" s="110"/>
      <c r="J183" s="110"/>
      <c r="K183" s="110"/>
      <c r="L183" s="110"/>
      <c r="M183" s="110"/>
      <c r="N183" s="110"/>
      <c r="O183" s="110"/>
      <c r="P183" s="110"/>
      <c r="Q183" s="110"/>
      <c r="R183" s="110"/>
      <c r="S183" s="110"/>
      <c r="T183" s="110"/>
    </row>
    <row r="184" spans="2:20" ht="16.2" x14ac:dyDescent="0.3">
      <c r="B184" s="110"/>
      <c r="C184" s="110" t="s">
        <v>289</v>
      </c>
      <c r="D184" s="110"/>
      <c r="E184" s="110"/>
      <c r="F184" s="110"/>
      <c r="G184" s="237">
        <f>'Input Sheet'!C17 * 1000</f>
        <v>9810</v>
      </c>
      <c r="H184" s="110" t="s">
        <v>247</v>
      </c>
      <c r="I184" s="237">
        <f>'Input Sheet'!C13</f>
        <v>50</v>
      </c>
      <c r="J184" s="111" t="s">
        <v>15</v>
      </c>
      <c r="K184" s="110">
        <f>G184*I184/10^3</f>
        <v>490.5</v>
      </c>
      <c r="L184" s="110" t="s">
        <v>316</v>
      </c>
      <c r="M184" s="110"/>
      <c r="N184" s="110"/>
      <c r="O184" s="110"/>
      <c r="P184" s="110"/>
      <c r="Q184" s="110"/>
      <c r="R184" s="110"/>
      <c r="S184" s="110"/>
      <c r="T184" s="110"/>
    </row>
    <row r="185" spans="2:20" x14ac:dyDescent="0.3">
      <c r="B185" s="110"/>
      <c r="C185" s="110" t="s">
        <v>290</v>
      </c>
      <c r="D185" s="110"/>
      <c r="E185" s="110"/>
      <c r="F185" s="110"/>
      <c r="G185" s="110"/>
      <c r="H185" s="110"/>
      <c r="I185" s="110"/>
      <c r="J185" s="110"/>
      <c r="K185" s="110"/>
      <c r="L185" s="110"/>
      <c r="M185" s="110"/>
      <c r="N185" s="110"/>
      <c r="O185" s="110"/>
      <c r="P185" s="110"/>
      <c r="Q185" s="110"/>
      <c r="R185" s="110"/>
      <c r="S185" s="110"/>
      <c r="T185" s="110"/>
    </row>
    <row r="186" spans="2:20" ht="19.2" customHeight="1" x14ac:dyDescent="0.3">
      <c r="B186" s="110"/>
      <c r="C186" s="110" t="s">
        <v>291</v>
      </c>
      <c r="D186" s="110"/>
      <c r="E186" s="237">
        <f>G5*I69*(K5/1000)*M14*2/10000</f>
        <v>21.650635094610969</v>
      </c>
      <c r="F186" s="110" t="s">
        <v>316</v>
      </c>
      <c r="G186" s="111"/>
      <c r="H186" s="110"/>
      <c r="I186" s="110" t="s">
        <v>292</v>
      </c>
      <c r="J186" s="110"/>
      <c r="K186" s="110"/>
      <c r="L186" s="110">
        <f>I5*K5*(I69/1000)*M14*2/10000</f>
        <v>7.2168783648703236</v>
      </c>
      <c r="M186" s="110" t="s">
        <v>317</v>
      </c>
      <c r="N186" s="110"/>
      <c r="O186" s="110"/>
      <c r="P186" s="110"/>
      <c r="Q186" s="110"/>
      <c r="R186" s="110"/>
      <c r="S186" s="110"/>
      <c r="T186" s="110"/>
    </row>
    <row r="187" spans="2:20" ht="18.600000000000001" customHeight="1" x14ac:dyDescent="0.3">
      <c r="B187" s="110"/>
      <c r="C187" s="466" t="s">
        <v>293</v>
      </c>
      <c r="D187" s="466"/>
      <c r="E187" s="110">
        <f>(O162/1000)*G5*I5*M14/10000</f>
        <v>12.500000000000004</v>
      </c>
      <c r="F187" s="110" t="s">
        <v>316</v>
      </c>
      <c r="G187" s="110"/>
      <c r="H187" s="110"/>
      <c r="I187" s="110" t="s">
        <v>294</v>
      </c>
      <c r="J187" s="110"/>
      <c r="K187" s="110"/>
      <c r="L187" s="110">
        <f>(H148/1000)*G5*I5*M14/10000</f>
        <v>9.3750000000000018</v>
      </c>
      <c r="M187" s="110" t="s">
        <v>295</v>
      </c>
      <c r="N187" s="110"/>
      <c r="O187" s="110"/>
      <c r="P187" s="110"/>
      <c r="Q187" s="110"/>
      <c r="R187" s="110"/>
      <c r="S187" s="110"/>
      <c r="T187" s="110"/>
    </row>
    <row r="188" spans="2:20" x14ac:dyDescent="0.3">
      <c r="B188" s="110"/>
      <c r="C188" s="110"/>
      <c r="D188" s="110"/>
      <c r="E188" s="110"/>
      <c r="F188" s="110"/>
      <c r="G188" s="110"/>
      <c r="H188" s="110"/>
      <c r="I188" s="110"/>
      <c r="J188" s="110"/>
      <c r="K188" s="110"/>
      <c r="L188" s="110"/>
      <c r="M188" s="110"/>
      <c r="N188" s="110"/>
      <c r="O188" s="110"/>
      <c r="P188" s="110"/>
      <c r="Q188" s="110"/>
      <c r="R188" s="110"/>
      <c r="S188" s="110"/>
      <c r="T188" s="110"/>
    </row>
    <row r="189" spans="2:20" ht="16.2" x14ac:dyDescent="0.3">
      <c r="B189" s="110"/>
      <c r="C189" s="110" t="s">
        <v>297</v>
      </c>
      <c r="D189" s="110"/>
      <c r="E189" s="237">
        <f>E186+E187+L186+L187</f>
        <v>50.742513459481302</v>
      </c>
      <c r="F189" s="110" t="s">
        <v>316</v>
      </c>
      <c r="G189" s="110"/>
      <c r="H189" s="110"/>
      <c r="I189" s="110"/>
      <c r="J189" s="110"/>
      <c r="K189" s="110"/>
      <c r="L189" s="110"/>
      <c r="M189" s="110"/>
      <c r="N189" s="110"/>
      <c r="O189" s="110"/>
      <c r="P189" s="110"/>
      <c r="Q189" s="110"/>
      <c r="R189" s="110"/>
      <c r="S189" s="110"/>
      <c r="T189" s="110"/>
    </row>
    <row r="190" spans="2:20" ht="16.2" x14ac:dyDescent="0.3">
      <c r="B190" s="110"/>
      <c r="C190" s="110" t="s">
        <v>372</v>
      </c>
      <c r="D190" s="110"/>
      <c r="E190" s="110"/>
      <c r="F190" s="238">
        <f>ROUNDUP(K184+E189,0)</f>
        <v>542</v>
      </c>
      <c r="G190" s="109" t="s">
        <v>318</v>
      </c>
      <c r="H190" s="110"/>
      <c r="I190" s="110"/>
      <c r="J190" s="110"/>
      <c r="K190" s="110"/>
      <c r="L190" s="110"/>
      <c r="M190" s="110"/>
      <c r="N190" s="110"/>
      <c r="O190" s="110"/>
      <c r="P190" s="110"/>
      <c r="Q190" s="110"/>
      <c r="R190" s="110"/>
      <c r="S190" s="110"/>
      <c r="T190" s="110"/>
    </row>
    <row r="191" spans="2:20" x14ac:dyDescent="0.3">
      <c r="B191" s="110"/>
      <c r="C191" s="110"/>
      <c r="D191" s="110"/>
      <c r="E191" s="110"/>
      <c r="F191" s="110"/>
      <c r="G191" s="110"/>
      <c r="H191" s="110"/>
      <c r="I191" s="110"/>
      <c r="J191" s="110"/>
      <c r="K191" s="110"/>
      <c r="L191" s="110"/>
      <c r="M191" s="110"/>
      <c r="N191" s="110"/>
      <c r="O191" s="110"/>
      <c r="P191" s="110"/>
      <c r="Q191" s="110"/>
      <c r="R191" s="110"/>
      <c r="S191" s="110"/>
      <c r="T191" s="110"/>
    </row>
    <row r="192" spans="2:20" ht="28.8" x14ac:dyDescent="0.3">
      <c r="B192" s="110"/>
      <c r="C192" s="239" t="s">
        <v>305</v>
      </c>
      <c r="D192" s="110"/>
      <c r="E192" s="110">
        <f>'Input Sheet'!C17*1000*Calculations!K5</f>
        <v>19620</v>
      </c>
      <c r="F192" s="110" t="s">
        <v>319</v>
      </c>
      <c r="G192" s="110"/>
      <c r="H192" s="110"/>
      <c r="I192" s="240" t="s">
        <v>298</v>
      </c>
      <c r="J192" s="120" t="s">
        <v>15</v>
      </c>
      <c r="K192" s="110">
        <f>E192</f>
        <v>19620</v>
      </c>
      <c r="L192" s="111" t="s">
        <v>248</v>
      </c>
      <c r="M192" s="115">
        <f>G5+1</f>
        <v>9.6602540378443873</v>
      </c>
      <c r="N192" s="111" t="s">
        <v>20</v>
      </c>
      <c r="O192" s="115">
        <f>I5+1</f>
        <v>3.8867513459481291</v>
      </c>
      <c r="P192" s="110" t="s">
        <v>302</v>
      </c>
      <c r="Q192" s="110" t="s">
        <v>15</v>
      </c>
      <c r="R192" s="109">
        <f>K192*(M192+O192)/10^3</f>
        <v>265.79224563000918</v>
      </c>
      <c r="S192" s="109" t="s">
        <v>318</v>
      </c>
      <c r="T192" s="109"/>
    </row>
    <row r="193" spans="2:20" x14ac:dyDescent="0.3">
      <c r="B193" s="110"/>
      <c r="C193" s="110"/>
      <c r="D193" s="110"/>
      <c r="E193" s="110"/>
      <c r="F193" s="110"/>
      <c r="G193" s="110"/>
      <c r="H193" s="110"/>
      <c r="I193" s="110"/>
      <c r="J193" s="110"/>
      <c r="K193" s="110"/>
      <c r="L193" s="110"/>
      <c r="M193" s="110"/>
      <c r="N193" s="110"/>
      <c r="O193" s="110"/>
      <c r="P193" s="110"/>
      <c r="Q193" s="110"/>
      <c r="R193" s="110"/>
      <c r="S193" s="110"/>
      <c r="T193" s="110"/>
    </row>
    <row r="194" spans="2:20" x14ac:dyDescent="0.3">
      <c r="B194" s="110"/>
      <c r="C194" s="110"/>
      <c r="D194" s="110"/>
      <c r="E194" s="110"/>
      <c r="F194" s="110"/>
      <c r="G194" s="110"/>
      <c r="H194" s="110"/>
      <c r="I194" s="110"/>
      <c r="J194" s="110"/>
      <c r="K194" s="110"/>
      <c r="L194" s="110"/>
      <c r="M194" s="110"/>
      <c r="N194" s="110"/>
      <c r="O194" s="110"/>
      <c r="P194" s="110"/>
      <c r="Q194" s="110"/>
      <c r="R194" s="110"/>
      <c r="S194" s="110"/>
      <c r="T194" s="110"/>
    </row>
    <row r="195" spans="2:20" x14ac:dyDescent="0.3">
      <c r="B195" s="110"/>
      <c r="C195" s="110"/>
      <c r="D195" s="466" t="s">
        <v>299</v>
      </c>
      <c r="E195" s="466"/>
      <c r="F195" s="466"/>
      <c r="G195" s="241">
        <f>F190</f>
        <v>542</v>
      </c>
      <c r="H195" s="111" t="s">
        <v>23</v>
      </c>
      <c r="I195" s="138">
        <f>ROUNDUP(R192,0)</f>
        <v>266</v>
      </c>
      <c r="J195" s="110"/>
      <c r="K195" s="110"/>
      <c r="L195" s="110"/>
      <c r="M195" s="110"/>
      <c r="N195" s="110"/>
      <c r="O195" s="110"/>
      <c r="P195" s="110"/>
      <c r="Q195" s="110"/>
      <c r="R195" s="110"/>
      <c r="S195" s="110"/>
      <c r="T195" s="110"/>
    </row>
    <row r="196" spans="2:20" x14ac:dyDescent="0.3">
      <c r="B196" s="110"/>
      <c r="C196" s="110"/>
      <c r="D196" s="466" t="s">
        <v>300</v>
      </c>
      <c r="E196" s="466"/>
      <c r="F196" s="466"/>
      <c r="G196" s="109">
        <f>G195/I195</f>
        <v>2.0375939849624061</v>
      </c>
      <c r="H196" s="110"/>
      <c r="I196" s="110"/>
      <c r="J196" s="110"/>
      <c r="K196" s="110"/>
      <c r="L196" s="110"/>
      <c r="M196" s="110"/>
      <c r="N196" s="110"/>
      <c r="O196" s="110"/>
      <c r="P196" s="110"/>
      <c r="Q196" s="110"/>
      <c r="R196" s="110"/>
      <c r="S196" s="110"/>
      <c r="T196" s="110"/>
    </row>
    <row r="197" spans="2:20" x14ac:dyDescent="0.3">
      <c r="B197" s="110"/>
      <c r="C197" s="110"/>
      <c r="D197" s="110"/>
      <c r="E197" s="110"/>
      <c r="F197" s="110"/>
      <c r="G197" s="110"/>
      <c r="H197" s="110"/>
      <c r="I197" s="110"/>
      <c r="J197" s="110"/>
      <c r="K197" s="110"/>
      <c r="L197" s="110"/>
      <c r="M197" s="110"/>
      <c r="N197" s="110"/>
      <c r="O197" s="110"/>
      <c r="P197" s="110"/>
      <c r="Q197" s="110"/>
      <c r="R197" s="110"/>
      <c r="S197" s="110"/>
      <c r="T197" s="110"/>
    </row>
    <row r="198" spans="2:20" x14ac:dyDescent="0.3">
      <c r="B198" s="110"/>
      <c r="C198" s="467" t="s">
        <v>301</v>
      </c>
      <c r="D198" s="467"/>
      <c r="E198" s="467"/>
      <c r="F198" s="430">
        <f>ROUNDUP(G196,0)</f>
        <v>3</v>
      </c>
      <c r="G198" s="468" t="s">
        <v>303</v>
      </c>
      <c r="H198" s="468"/>
      <c r="I198" s="468"/>
      <c r="J198" s="468"/>
      <c r="K198" s="468"/>
      <c r="L198" s="468"/>
      <c r="M198" s="468"/>
      <c r="N198" s="468"/>
      <c r="O198" s="468"/>
      <c r="P198" s="468"/>
      <c r="Q198" s="468"/>
      <c r="R198" s="468"/>
      <c r="S198" s="468"/>
      <c r="T198" s="110"/>
    </row>
    <row r="199" spans="2:20" ht="13.8" customHeight="1" x14ac:dyDescent="0.3">
      <c r="B199" s="110"/>
      <c r="C199" s="110"/>
      <c r="D199" s="110"/>
      <c r="E199" s="110"/>
      <c r="F199" s="110"/>
      <c r="G199" s="110"/>
      <c r="H199" s="110"/>
      <c r="I199" s="110"/>
      <c r="J199" s="110"/>
      <c r="K199" s="110"/>
      <c r="L199" s="110"/>
      <c r="M199" s="110"/>
      <c r="N199" s="110"/>
      <c r="O199" s="110"/>
      <c r="P199" s="110"/>
      <c r="Q199" s="110"/>
      <c r="R199" s="110"/>
      <c r="S199" s="110"/>
      <c r="T199" s="110"/>
    </row>
    <row r="200" spans="2:20" ht="68.400000000000006" customHeight="1" x14ac:dyDescent="0.3">
      <c r="B200" s="110"/>
      <c r="C200" s="469" t="s">
        <v>363</v>
      </c>
      <c r="D200" s="469"/>
      <c r="E200" s="469"/>
      <c r="F200" s="469"/>
      <c r="G200" s="469"/>
      <c r="H200" s="469"/>
      <c r="I200" s="469"/>
      <c r="J200" s="469"/>
      <c r="K200" s="469"/>
      <c r="L200" s="469"/>
      <c r="M200" s="469"/>
      <c r="N200" s="469"/>
      <c r="O200" s="469"/>
      <c r="P200" s="469"/>
      <c r="Q200" s="469"/>
      <c r="R200" s="469"/>
      <c r="S200" s="469"/>
      <c r="T200" s="110"/>
    </row>
    <row r="201" spans="2:20" x14ac:dyDescent="0.3">
      <c r="B201" s="110"/>
      <c r="C201" s="110"/>
      <c r="D201" s="110"/>
      <c r="E201" s="110"/>
      <c r="F201" s="110"/>
      <c r="G201" s="110"/>
      <c r="H201" s="110"/>
      <c r="I201" s="110"/>
      <c r="J201" s="110"/>
      <c r="K201" s="110"/>
      <c r="L201" s="110"/>
      <c r="M201" s="110"/>
      <c r="N201" s="110"/>
      <c r="O201" s="110"/>
      <c r="P201" s="110"/>
      <c r="Q201" s="110"/>
      <c r="R201" s="110"/>
      <c r="S201" s="110"/>
      <c r="T201" s="110"/>
    </row>
    <row r="202" spans="2:20" x14ac:dyDescent="0.3">
      <c r="B202" s="110"/>
      <c r="C202" s="110"/>
      <c r="D202" s="110"/>
      <c r="E202" s="110"/>
      <c r="F202" s="110"/>
      <c r="G202" s="110"/>
      <c r="H202" s="110"/>
      <c r="I202" s="110"/>
      <c r="J202" s="110"/>
      <c r="K202" s="110"/>
      <c r="L202" s="110"/>
      <c r="M202" s="110"/>
      <c r="N202" s="110"/>
      <c r="O202" s="110"/>
      <c r="P202" s="110"/>
      <c r="Q202" s="110"/>
      <c r="R202" s="110"/>
      <c r="S202" s="110"/>
      <c r="T202" s="110"/>
    </row>
    <row r="203" spans="2:20" x14ac:dyDescent="0.3">
      <c r="B203" s="110"/>
      <c r="C203" s="110"/>
      <c r="D203" s="110"/>
      <c r="E203" s="110"/>
      <c r="F203" s="110"/>
      <c r="G203" s="110"/>
      <c r="H203" s="110"/>
      <c r="I203" s="110"/>
      <c r="J203" s="110"/>
      <c r="K203" s="110"/>
      <c r="L203" s="110"/>
      <c r="M203" s="110"/>
      <c r="N203" s="110"/>
      <c r="O203" s="110"/>
      <c r="P203" s="110"/>
      <c r="Q203" s="110"/>
      <c r="R203" s="110"/>
      <c r="S203" s="110"/>
      <c r="T203" s="110"/>
    </row>
  </sheetData>
  <mergeCells count="315">
    <mergeCell ref="B3:T3"/>
    <mergeCell ref="K5:L5"/>
    <mergeCell ref="H6:I6"/>
    <mergeCell ref="K6:L6"/>
    <mergeCell ref="K7:L7"/>
    <mergeCell ref="J8:M8"/>
    <mergeCell ref="L16:L17"/>
    <mergeCell ref="M16:N17"/>
    <mergeCell ref="M18:N18"/>
    <mergeCell ref="M19:N19"/>
    <mergeCell ref="C23:T24"/>
    <mergeCell ref="J11:M11"/>
    <mergeCell ref="S11:T11"/>
    <mergeCell ref="J13:K13"/>
    <mergeCell ref="G14:K14"/>
    <mergeCell ref="M14:N14"/>
    <mergeCell ref="F16:F17"/>
    <mergeCell ref="G16:H16"/>
    <mergeCell ref="J16:K16"/>
    <mergeCell ref="B13:C13"/>
    <mergeCell ref="Q30:Q31"/>
    <mergeCell ref="U31:U32"/>
    <mergeCell ref="C32:G33"/>
    <mergeCell ref="H32:H33"/>
    <mergeCell ref="J32:J33"/>
    <mergeCell ref="O32:O33"/>
    <mergeCell ref="P32:P33"/>
    <mergeCell ref="Q32:Q33"/>
    <mergeCell ref="C25:I25"/>
    <mergeCell ref="C26:D26"/>
    <mergeCell ref="C27:T27"/>
    <mergeCell ref="C28:T28"/>
    <mergeCell ref="Q29:S29"/>
    <mergeCell ref="C30:G31"/>
    <mergeCell ref="H30:H31"/>
    <mergeCell ref="J30:J31"/>
    <mergeCell ref="O30:O31"/>
    <mergeCell ref="P30:P31"/>
    <mergeCell ref="C39:D39"/>
    <mergeCell ref="G39:K39"/>
    <mergeCell ref="L39:N39"/>
    <mergeCell ref="O39:S39"/>
    <mergeCell ref="C40:D41"/>
    <mergeCell ref="E40:F40"/>
    <mergeCell ref="H40:H41"/>
    <mergeCell ref="I40:I41"/>
    <mergeCell ref="J40:J41"/>
    <mergeCell ref="K40:K41"/>
    <mergeCell ref="C48:F48"/>
    <mergeCell ref="G48:K48"/>
    <mergeCell ref="C49:F50"/>
    <mergeCell ref="H49:H50"/>
    <mergeCell ref="I49:I50"/>
    <mergeCell ref="J49:J50"/>
    <mergeCell ref="P42:P43"/>
    <mergeCell ref="Q42:R43"/>
    <mergeCell ref="E43:F43"/>
    <mergeCell ref="C46:F46"/>
    <mergeCell ref="G46:S46"/>
    <mergeCell ref="C47:F47"/>
    <mergeCell ref="G47:K47"/>
    <mergeCell ref="L47:S47"/>
    <mergeCell ref="L40:N43"/>
    <mergeCell ref="P40:P41"/>
    <mergeCell ref="Q40:R41"/>
    <mergeCell ref="E41:F41"/>
    <mergeCell ref="C42:D43"/>
    <mergeCell ref="E42:F42"/>
    <mergeCell ref="H42:H43"/>
    <mergeCell ref="I42:I43"/>
    <mergeCell ref="J42:J43"/>
    <mergeCell ref="K42:K43"/>
    <mergeCell ref="N49:N50"/>
    <mergeCell ref="O49:O50"/>
    <mergeCell ref="P49:P50"/>
    <mergeCell ref="C51:F52"/>
    <mergeCell ref="H51:H52"/>
    <mergeCell ref="I51:I52"/>
    <mergeCell ref="J51:J52"/>
    <mergeCell ref="N51:N52"/>
    <mergeCell ref="O51:O52"/>
    <mergeCell ref="P51:P52"/>
    <mergeCell ref="P53:P54"/>
    <mergeCell ref="O56:P56"/>
    <mergeCell ref="C58:F59"/>
    <mergeCell ref="H58:H59"/>
    <mergeCell ref="I58:I59"/>
    <mergeCell ref="J58:J59"/>
    <mergeCell ref="O58:P59"/>
    <mergeCell ref="C53:F54"/>
    <mergeCell ref="H53:H54"/>
    <mergeCell ref="I53:I54"/>
    <mergeCell ref="J53:J54"/>
    <mergeCell ref="N53:N54"/>
    <mergeCell ref="O53:O54"/>
    <mergeCell ref="Q58:Q59"/>
    <mergeCell ref="R58:S59"/>
    <mergeCell ref="T58:T59"/>
    <mergeCell ref="K59:M59"/>
    <mergeCell ref="C61:F62"/>
    <mergeCell ref="H61:H62"/>
    <mergeCell ref="I61:I62"/>
    <mergeCell ref="J61:J62"/>
    <mergeCell ref="O61:P62"/>
    <mergeCell ref="Q61:Q62"/>
    <mergeCell ref="R61:S62"/>
    <mergeCell ref="T61:T62"/>
    <mergeCell ref="K62:M62"/>
    <mergeCell ref="R63:S63"/>
    <mergeCell ref="C67:E68"/>
    <mergeCell ref="F67:F68"/>
    <mergeCell ref="J67:J68"/>
    <mergeCell ref="K67:L68"/>
    <mergeCell ref="M67:M68"/>
    <mergeCell ref="D76:D77"/>
    <mergeCell ref="E76:E77"/>
    <mergeCell ref="G76:G77"/>
    <mergeCell ref="O76:P77"/>
    <mergeCell ref="Q76:Q77"/>
    <mergeCell ref="I77:M77"/>
    <mergeCell ref="B69:D69"/>
    <mergeCell ref="C72:I72"/>
    <mergeCell ref="J72:K72"/>
    <mergeCell ref="Q72:S72"/>
    <mergeCell ref="C73:I73"/>
    <mergeCell ref="J73:K73"/>
    <mergeCell ref="Q73:S73"/>
    <mergeCell ref="C80:S80"/>
    <mergeCell ref="C81:T81"/>
    <mergeCell ref="C82:T82"/>
    <mergeCell ref="F83:S83"/>
    <mergeCell ref="C84:C85"/>
    <mergeCell ref="D84:D85"/>
    <mergeCell ref="F84:F85"/>
    <mergeCell ref="G84:G85"/>
    <mergeCell ref="H84:H85"/>
    <mergeCell ref="J84:J85"/>
    <mergeCell ref="Q86:Q87"/>
    <mergeCell ref="C88:E89"/>
    <mergeCell ref="F88:F89"/>
    <mergeCell ref="H88:H89"/>
    <mergeCell ref="J88:J89"/>
    <mergeCell ref="K88:L89"/>
    <mergeCell ref="M88:M89"/>
    <mergeCell ref="K84:K85"/>
    <mergeCell ref="L84:M85"/>
    <mergeCell ref="C86:C87"/>
    <mergeCell ref="D86:D87"/>
    <mergeCell ref="F86:F87"/>
    <mergeCell ref="N86:N87"/>
    <mergeCell ref="D90:E90"/>
    <mergeCell ref="K90:L90"/>
    <mergeCell ref="C91:C92"/>
    <mergeCell ref="D91:D92"/>
    <mergeCell ref="E91:F92"/>
    <mergeCell ref="G91:G92"/>
    <mergeCell ref="H91:H92"/>
    <mergeCell ref="L91:L92"/>
    <mergeCell ref="O86:P87"/>
    <mergeCell ref="N103:N104"/>
    <mergeCell ref="O103:P104"/>
    <mergeCell ref="Q103:Q104"/>
    <mergeCell ref="R91:R92"/>
    <mergeCell ref="S91:S92"/>
    <mergeCell ref="T91:T92"/>
    <mergeCell ref="P92:Q92"/>
    <mergeCell ref="C100:L100"/>
    <mergeCell ref="E102:F102"/>
    <mergeCell ref="K102:L102"/>
    <mergeCell ref="N102:O102"/>
    <mergeCell ref="P102:Q102"/>
    <mergeCell ref="B98:T98"/>
    <mergeCell ref="C105:E106"/>
    <mergeCell ref="F105:F106"/>
    <mergeCell ref="H105:H106"/>
    <mergeCell ref="J105:J106"/>
    <mergeCell ref="K105:L106"/>
    <mergeCell ref="M105:M106"/>
    <mergeCell ref="C103:C104"/>
    <mergeCell ref="D103:D104"/>
    <mergeCell ref="F103:F104"/>
    <mergeCell ref="T108:T109"/>
    <mergeCell ref="M109:N109"/>
    <mergeCell ref="P109:Q109"/>
    <mergeCell ref="M113:R113"/>
    <mergeCell ref="C111:N111"/>
    <mergeCell ref="C112:N112"/>
    <mergeCell ref="C113:K113"/>
    <mergeCell ref="D107:E107"/>
    <mergeCell ref="K107:L107"/>
    <mergeCell ref="C108:C109"/>
    <mergeCell ref="D108:D109"/>
    <mergeCell ref="E108:F109"/>
    <mergeCell ref="G108:G109"/>
    <mergeCell ref="H108:H109"/>
    <mergeCell ref="L108:L109"/>
    <mergeCell ref="G117:H117"/>
    <mergeCell ref="N117:P117"/>
    <mergeCell ref="C118:C119"/>
    <mergeCell ref="D118:D119"/>
    <mergeCell ref="F118:F119"/>
    <mergeCell ref="N118:N119"/>
    <mergeCell ref="O118:P119"/>
    <mergeCell ref="R108:R109"/>
    <mergeCell ref="S108:S109"/>
    <mergeCell ref="D122:E122"/>
    <mergeCell ref="K122:L122"/>
    <mergeCell ref="C123:C124"/>
    <mergeCell ref="D123:D124"/>
    <mergeCell ref="E123:F124"/>
    <mergeCell ref="G123:G124"/>
    <mergeCell ref="H123:H124"/>
    <mergeCell ref="L123:L124"/>
    <mergeCell ref="Q118:Q119"/>
    <mergeCell ref="C120:E121"/>
    <mergeCell ref="F120:F121"/>
    <mergeCell ref="H120:H121"/>
    <mergeCell ref="J120:J121"/>
    <mergeCell ref="K120:L121"/>
    <mergeCell ref="M120:M121"/>
    <mergeCell ref="H134:I134"/>
    <mergeCell ref="C135:C136"/>
    <mergeCell ref="D135:D136"/>
    <mergeCell ref="E135:F135"/>
    <mergeCell ref="H135:I135"/>
    <mergeCell ref="J135:J136"/>
    <mergeCell ref="R123:R124"/>
    <mergeCell ref="S123:S124"/>
    <mergeCell ref="T123:T124"/>
    <mergeCell ref="P124:Q124"/>
    <mergeCell ref="C126:D126"/>
    <mergeCell ref="F131:H131"/>
    <mergeCell ref="Q137:R138"/>
    <mergeCell ref="S137:S138"/>
    <mergeCell ref="J141:K141"/>
    <mergeCell ref="K135:L136"/>
    <mergeCell ref="M135:M136"/>
    <mergeCell ref="C137:I138"/>
    <mergeCell ref="J137:J138"/>
    <mergeCell ref="L137:L138"/>
    <mergeCell ref="M137:M138"/>
    <mergeCell ref="C139:M139"/>
    <mergeCell ref="C140:H140"/>
    <mergeCell ref="J9:M9"/>
    <mergeCell ref="J10:M10"/>
    <mergeCell ref="E56:J56"/>
    <mergeCell ref="L69:P69"/>
    <mergeCell ref="C152:C153"/>
    <mergeCell ref="D152:D153"/>
    <mergeCell ref="E152:F153"/>
    <mergeCell ref="G152:G153"/>
    <mergeCell ref="H152:H153"/>
    <mergeCell ref="L152:L153"/>
    <mergeCell ref="P143:Q143"/>
    <mergeCell ref="C150:C151"/>
    <mergeCell ref="J150:J151"/>
    <mergeCell ref="K150:L151"/>
    <mergeCell ref="M150:M151"/>
    <mergeCell ref="E151:I151"/>
    <mergeCell ref="C142:C143"/>
    <mergeCell ref="D142:D143"/>
    <mergeCell ref="E142:F143"/>
    <mergeCell ref="G142:G143"/>
    <mergeCell ref="H142:H143"/>
    <mergeCell ref="L142:L143"/>
    <mergeCell ref="N137:N138"/>
    <mergeCell ref="O137:O138"/>
    <mergeCell ref="C187:D187"/>
    <mergeCell ref="D195:F195"/>
    <mergeCell ref="D196:F196"/>
    <mergeCell ref="C198:E198"/>
    <mergeCell ref="G198:S198"/>
    <mergeCell ref="C200:S200"/>
    <mergeCell ref="H178:I178"/>
    <mergeCell ref="E178:F178"/>
    <mergeCell ref="F168:F169"/>
    <mergeCell ref="I168:I169"/>
    <mergeCell ref="J168:K169"/>
    <mergeCell ref="L168:L169"/>
    <mergeCell ref="B171:E171"/>
    <mergeCell ref="B176:F176"/>
    <mergeCell ref="C174:C175"/>
    <mergeCell ref="D174:D175"/>
    <mergeCell ref="E174:F175"/>
    <mergeCell ref="G174:G175"/>
    <mergeCell ref="H174:H175"/>
    <mergeCell ref="L174:L175"/>
    <mergeCell ref="R174:R175"/>
    <mergeCell ref="S174:S175"/>
    <mergeCell ref="P175:Q175"/>
    <mergeCell ref="C168:C169"/>
    <mergeCell ref="B79:T79"/>
    <mergeCell ref="B159:T159"/>
    <mergeCell ref="B147:T147"/>
    <mergeCell ref="C148:G148"/>
    <mergeCell ref="F155:H155"/>
    <mergeCell ref="B182:T182"/>
    <mergeCell ref="B133:T133"/>
    <mergeCell ref="B116:T116"/>
    <mergeCell ref="K117:M117"/>
    <mergeCell ref="T174:T175"/>
    <mergeCell ref="C165:C166"/>
    <mergeCell ref="D165:D166"/>
    <mergeCell ref="F165:F166"/>
    <mergeCell ref="M165:M166"/>
    <mergeCell ref="M168:M169"/>
    <mergeCell ref="O171:Q171"/>
    <mergeCell ref="R152:R153"/>
    <mergeCell ref="S152:S153"/>
    <mergeCell ref="T152:T153"/>
    <mergeCell ref="P153:Q153"/>
    <mergeCell ref="R142:R143"/>
    <mergeCell ref="S142:S143"/>
    <mergeCell ref="T142:T143"/>
    <mergeCell ref="P137:P1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269D3-3621-43A1-8DD0-11BF89193D7E}">
  <sheetPr>
    <tabColor rgb="FFFFC000"/>
  </sheetPr>
  <dimension ref="B1:I62"/>
  <sheetViews>
    <sheetView topLeftCell="A4" zoomScale="112" zoomScaleNormal="112" workbookViewId="0">
      <selection activeCell="I7" sqref="I7:I8"/>
    </sheetView>
  </sheetViews>
  <sheetFormatPr defaultColWidth="9.109375" defaultRowHeight="14.4" x14ac:dyDescent="0.3"/>
  <cols>
    <col min="1" max="1" width="4.5546875" style="6" customWidth="1"/>
    <col min="2" max="8" width="9.109375" style="6"/>
    <col min="9" max="9" width="10.44140625" style="6" customWidth="1"/>
    <col min="10" max="258" width="9.109375" style="6"/>
    <col min="259" max="259" width="10.44140625" style="6" customWidth="1"/>
    <col min="260" max="263" width="9.109375" style="6"/>
    <col min="264" max="264" width="9.33203125" style="6" customWidth="1"/>
    <col min="265" max="514" width="9.109375" style="6"/>
    <col min="515" max="515" width="10.44140625" style="6" customWidth="1"/>
    <col min="516" max="519" width="9.109375" style="6"/>
    <col min="520" max="520" width="9.33203125" style="6" customWidth="1"/>
    <col min="521" max="770" width="9.109375" style="6"/>
    <col min="771" max="771" width="10.44140625" style="6" customWidth="1"/>
    <col min="772" max="775" width="9.109375" style="6"/>
    <col min="776" max="776" width="9.33203125" style="6" customWidth="1"/>
    <col min="777" max="1026" width="9.109375" style="6"/>
    <col min="1027" max="1027" width="10.44140625" style="6" customWidth="1"/>
    <col min="1028" max="1031" width="9.109375" style="6"/>
    <col min="1032" max="1032" width="9.33203125" style="6" customWidth="1"/>
    <col min="1033" max="1282" width="9.109375" style="6"/>
    <col min="1283" max="1283" width="10.44140625" style="6" customWidth="1"/>
    <col min="1284" max="1287" width="9.109375" style="6"/>
    <col min="1288" max="1288" width="9.33203125" style="6" customWidth="1"/>
    <col min="1289" max="1538" width="9.109375" style="6"/>
    <col min="1539" max="1539" width="10.44140625" style="6" customWidth="1"/>
    <col min="1540" max="1543" width="9.109375" style="6"/>
    <col min="1544" max="1544" width="9.33203125" style="6" customWidth="1"/>
    <col min="1545" max="1794" width="9.109375" style="6"/>
    <col min="1795" max="1795" width="10.44140625" style="6" customWidth="1"/>
    <col min="1796" max="1799" width="9.109375" style="6"/>
    <col min="1800" max="1800" width="9.33203125" style="6" customWidth="1"/>
    <col min="1801" max="2050" width="9.109375" style="6"/>
    <col min="2051" max="2051" width="10.44140625" style="6" customWidth="1"/>
    <col min="2052" max="2055" width="9.109375" style="6"/>
    <col min="2056" max="2056" width="9.33203125" style="6" customWidth="1"/>
    <col min="2057" max="2306" width="9.109375" style="6"/>
    <col min="2307" max="2307" width="10.44140625" style="6" customWidth="1"/>
    <col min="2308" max="2311" width="9.109375" style="6"/>
    <col min="2312" max="2312" width="9.33203125" style="6" customWidth="1"/>
    <col min="2313" max="2562" width="9.109375" style="6"/>
    <col min="2563" max="2563" width="10.44140625" style="6" customWidth="1"/>
    <col min="2564" max="2567" width="9.109375" style="6"/>
    <col min="2568" max="2568" width="9.33203125" style="6" customWidth="1"/>
    <col min="2569" max="2818" width="9.109375" style="6"/>
    <col min="2819" max="2819" width="10.44140625" style="6" customWidth="1"/>
    <col min="2820" max="2823" width="9.109375" style="6"/>
    <col min="2824" max="2824" width="9.33203125" style="6" customWidth="1"/>
    <col min="2825" max="3074" width="9.109375" style="6"/>
    <col min="3075" max="3075" width="10.44140625" style="6" customWidth="1"/>
    <col min="3076" max="3079" width="9.109375" style="6"/>
    <col min="3080" max="3080" width="9.33203125" style="6" customWidth="1"/>
    <col min="3081" max="3330" width="9.109375" style="6"/>
    <col min="3331" max="3331" width="10.44140625" style="6" customWidth="1"/>
    <col min="3332" max="3335" width="9.109375" style="6"/>
    <col min="3336" max="3336" width="9.33203125" style="6" customWidth="1"/>
    <col min="3337" max="3586" width="9.109375" style="6"/>
    <col min="3587" max="3587" width="10.44140625" style="6" customWidth="1"/>
    <col min="3588" max="3591" width="9.109375" style="6"/>
    <col min="3592" max="3592" width="9.33203125" style="6" customWidth="1"/>
    <col min="3593" max="3842" width="9.109375" style="6"/>
    <col min="3843" max="3843" width="10.44140625" style="6" customWidth="1"/>
    <col min="3844" max="3847" width="9.109375" style="6"/>
    <col min="3848" max="3848" width="9.33203125" style="6" customWidth="1"/>
    <col min="3849" max="4098" width="9.109375" style="6"/>
    <col min="4099" max="4099" width="10.44140625" style="6" customWidth="1"/>
    <col min="4100" max="4103" width="9.109375" style="6"/>
    <col min="4104" max="4104" width="9.33203125" style="6" customWidth="1"/>
    <col min="4105" max="4354" width="9.109375" style="6"/>
    <col min="4355" max="4355" width="10.44140625" style="6" customWidth="1"/>
    <col min="4356" max="4359" width="9.109375" style="6"/>
    <col min="4360" max="4360" width="9.33203125" style="6" customWidth="1"/>
    <col min="4361" max="4610" width="9.109375" style="6"/>
    <col min="4611" max="4611" width="10.44140625" style="6" customWidth="1"/>
    <col min="4612" max="4615" width="9.109375" style="6"/>
    <col min="4616" max="4616" width="9.33203125" style="6" customWidth="1"/>
    <col min="4617" max="4866" width="9.109375" style="6"/>
    <col min="4867" max="4867" width="10.44140625" style="6" customWidth="1"/>
    <col min="4868" max="4871" width="9.109375" style="6"/>
    <col min="4872" max="4872" width="9.33203125" style="6" customWidth="1"/>
    <col min="4873" max="5122" width="9.109375" style="6"/>
    <col min="5123" max="5123" width="10.44140625" style="6" customWidth="1"/>
    <col min="5124" max="5127" width="9.109375" style="6"/>
    <col min="5128" max="5128" width="9.33203125" style="6" customWidth="1"/>
    <col min="5129" max="5378" width="9.109375" style="6"/>
    <col min="5379" max="5379" width="10.44140625" style="6" customWidth="1"/>
    <col min="5380" max="5383" width="9.109375" style="6"/>
    <col min="5384" max="5384" width="9.33203125" style="6" customWidth="1"/>
    <col min="5385" max="5634" width="9.109375" style="6"/>
    <col min="5635" max="5635" width="10.44140625" style="6" customWidth="1"/>
    <col min="5636" max="5639" width="9.109375" style="6"/>
    <col min="5640" max="5640" width="9.33203125" style="6" customWidth="1"/>
    <col min="5641" max="5890" width="9.109375" style="6"/>
    <col min="5891" max="5891" width="10.44140625" style="6" customWidth="1"/>
    <col min="5892" max="5895" width="9.109375" style="6"/>
    <col min="5896" max="5896" width="9.33203125" style="6" customWidth="1"/>
    <col min="5897" max="6146" width="9.109375" style="6"/>
    <col min="6147" max="6147" width="10.44140625" style="6" customWidth="1"/>
    <col min="6148" max="6151" width="9.109375" style="6"/>
    <col min="6152" max="6152" width="9.33203125" style="6" customWidth="1"/>
    <col min="6153" max="6402" width="9.109375" style="6"/>
    <col min="6403" max="6403" width="10.44140625" style="6" customWidth="1"/>
    <col min="6404" max="6407" width="9.109375" style="6"/>
    <col min="6408" max="6408" width="9.33203125" style="6" customWidth="1"/>
    <col min="6409" max="6658" width="9.109375" style="6"/>
    <col min="6659" max="6659" width="10.44140625" style="6" customWidth="1"/>
    <col min="6660" max="6663" width="9.109375" style="6"/>
    <col min="6664" max="6664" width="9.33203125" style="6" customWidth="1"/>
    <col min="6665" max="6914" width="9.109375" style="6"/>
    <col min="6915" max="6915" width="10.44140625" style="6" customWidth="1"/>
    <col min="6916" max="6919" width="9.109375" style="6"/>
    <col min="6920" max="6920" width="9.33203125" style="6" customWidth="1"/>
    <col min="6921" max="7170" width="9.109375" style="6"/>
    <col min="7171" max="7171" width="10.44140625" style="6" customWidth="1"/>
    <col min="7172" max="7175" width="9.109375" style="6"/>
    <col min="7176" max="7176" width="9.33203125" style="6" customWidth="1"/>
    <col min="7177" max="7426" width="9.109375" style="6"/>
    <col min="7427" max="7427" width="10.44140625" style="6" customWidth="1"/>
    <col min="7428" max="7431" width="9.109375" style="6"/>
    <col min="7432" max="7432" width="9.33203125" style="6" customWidth="1"/>
    <col min="7433" max="7682" width="9.109375" style="6"/>
    <col min="7683" max="7683" width="10.44140625" style="6" customWidth="1"/>
    <col min="7684" max="7687" width="9.109375" style="6"/>
    <col min="7688" max="7688" width="9.33203125" style="6" customWidth="1"/>
    <col min="7689" max="7938" width="9.109375" style="6"/>
    <col min="7939" max="7939" width="10.44140625" style="6" customWidth="1"/>
    <col min="7940" max="7943" width="9.109375" style="6"/>
    <col min="7944" max="7944" width="9.33203125" style="6" customWidth="1"/>
    <col min="7945" max="8194" width="9.109375" style="6"/>
    <col min="8195" max="8195" width="10.44140625" style="6" customWidth="1"/>
    <col min="8196" max="8199" width="9.109375" style="6"/>
    <col min="8200" max="8200" width="9.33203125" style="6" customWidth="1"/>
    <col min="8201" max="8450" width="9.109375" style="6"/>
    <col min="8451" max="8451" width="10.44140625" style="6" customWidth="1"/>
    <col min="8452" max="8455" width="9.109375" style="6"/>
    <col min="8456" max="8456" width="9.33203125" style="6" customWidth="1"/>
    <col min="8457" max="8706" width="9.109375" style="6"/>
    <col min="8707" max="8707" width="10.44140625" style="6" customWidth="1"/>
    <col min="8708" max="8711" width="9.109375" style="6"/>
    <col min="8712" max="8712" width="9.33203125" style="6" customWidth="1"/>
    <col min="8713" max="8962" width="9.109375" style="6"/>
    <col min="8963" max="8963" width="10.44140625" style="6" customWidth="1"/>
    <col min="8964" max="8967" width="9.109375" style="6"/>
    <col min="8968" max="8968" width="9.33203125" style="6" customWidth="1"/>
    <col min="8969" max="9218" width="9.109375" style="6"/>
    <col min="9219" max="9219" width="10.44140625" style="6" customWidth="1"/>
    <col min="9220" max="9223" width="9.109375" style="6"/>
    <col min="9224" max="9224" width="9.33203125" style="6" customWidth="1"/>
    <col min="9225" max="9474" width="9.109375" style="6"/>
    <col min="9475" max="9475" width="10.44140625" style="6" customWidth="1"/>
    <col min="9476" max="9479" width="9.109375" style="6"/>
    <col min="9480" max="9480" width="9.33203125" style="6" customWidth="1"/>
    <col min="9481" max="9730" width="9.109375" style="6"/>
    <col min="9731" max="9731" width="10.44140625" style="6" customWidth="1"/>
    <col min="9732" max="9735" width="9.109375" style="6"/>
    <col min="9736" max="9736" width="9.33203125" style="6" customWidth="1"/>
    <col min="9737" max="9986" width="9.109375" style="6"/>
    <col min="9987" max="9987" width="10.44140625" style="6" customWidth="1"/>
    <col min="9988" max="9991" width="9.109375" style="6"/>
    <col min="9992" max="9992" width="9.33203125" style="6" customWidth="1"/>
    <col min="9993" max="10242" width="9.109375" style="6"/>
    <col min="10243" max="10243" width="10.44140625" style="6" customWidth="1"/>
    <col min="10244" max="10247" width="9.109375" style="6"/>
    <col min="10248" max="10248" width="9.33203125" style="6" customWidth="1"/>
    <col min="10249" max="10498" width="9.109375" style="6"/>
    <col min="10499" max="10499" width="10.44140625" style="6" customWidth="1"/>
    <col min="10500" max="10503" width="9.109375" style="6"/>
    <col min="10504" max="10504" width="9.33203125" style="6" customWidth="1"/>
    <col min="10505" max="10754" width="9.109375" style="6"/>
    <col min="10755" max="10755" width="10.44140625" style="6" customWidth="1"/>
    <col min="10756" max="10759" width="9.109375" style="6"/>
    <col min="10760" max="10760" width="9.33203125" style="6" customWidth="1"/>
    <col min="10761" max="11010" width="9.109375" style="6"/>
    <col min="11011" max="11011" width="10.44140625" style="6" customWidth="1"/>
    <col min="11012" max="11015" width="9.109375" style="6"/>
    <col min="11016" max="11016" width="9.33203125" style="6" customWidth="1"/>
    <col min="11017" max="11266" width="9.109375" style="6"/>
    <col min="11267" max="11267" width="10.44140625" style="6" customWidth="1"/>
    <col min="11268" max="11271" width="9.109375" style="6"/>
    <col min="11272" max="11272" width="9.33203125" style="6" customWidth="1"/>
    <col min="11273" max="11522" width="9.109375" style="6"/>
    <col min="11523" max="11523" width="10.44140625" style="6" customWidth="1"/>
    <col min="11524" max="11527" width="9.109375" style="6"/>
    <col min="11528" max="11528" width="9.33203125" style="6" customWidth="1"/>
    <col min="11529" max="11778" width="9.109375" style="6"/>
    <col min="11779" max="11779" width="10.44140625" style="6" customWidth="1"/>
    <col min="11780" max="11783" width="9.109375" style="6"/>
    <col min="11784" max="11784" width="9.33203125" style="6" customWidth="1"/>
    <col min="11785" max="12034" width="9.109375" style="6"/>
    <col min="12035" max="12035" width="10.44140625" style="6" customWidth="1"/>
    <col min="12036" max="12039" width="9.109375" style="6"/>
    <col min="12040" max="12040" width="9.33203125" style="6" customWidth="1"/>
    <col min="12041" max="12290" width="9.109375" style="6"/>
    <col min="12291" max="12291" width="10.44140625" style="6" customWidth="1"/>
    <col min="12292" max="12295" width="9.109375" style="6"/>
    <col min="12296" max="12296" width="9.33203125" style="6" customWidth="1"/>
    <col min="12297" max="12546" width="9.109375" style="6"/>
    <col min="12547" max="12547" width="10.44140625" style="6" customWidth="1"/>
    <col min="12548" max="12551" width="9.109375" style="6"/>
    <col min="12552" max="12552" width="9.33203125" style="6" customWidth="1"/>
    <col min="12553" max="12802" width="9.109375" style="6"/>
    <col min="12803" max="12803" width="10.44140625" style="6" customWidth="1"/>
    <col min="12804" max="12807" width="9.109375" style="6"/>
    <col min="12808" max="12808" width="9.33203125" style="6" customWidth="1"/>
    <col min="12809" max="13058" width="9.109375" style="6"/>
    <col min="13059" max="13059" width="10.44140625" style="6" customWidth="1"/>
    <col min="13060" max="13063" width="9.109375" style="6"/>
    <col min="13064" max="13064" width="9.33203125" style="6" customWidth="1"/>
    <col min="13065" max="13314" width="9.109375" style="6"/>
    <col min="13315" max="13315" width="10.44140625" style="6" customWidth="1"/>
    <col min="13316" max="13319" width="9.109375" style="6"/>
    <col min="13320" max="13320" width="9.33203125" style="6" customWidth="1"/>
    <col min="13321" max="13570" width="9.109375" style="6"/>
    <col min="13571" max="13571" width="10.44140625" style="6" customWidth="1"/>
    <col min="13572" max="13575" width="9.109375" style="6"/>
    <col min="13576" max="13576" width="9.33203125" style="6" customWidth="1"/>
    <col min="13577" max="13826" width="9.109375" style="6"/>
    <col min="13827" max="13827" width="10.44140625" style="6" customWidth="1"/>
    <col min="13828" max="13831" width="9.109375" style="6"/>
    <col min="13832" max="13832" width="9.33203125" style="6" customWidth="1"/>
    <col min="13833" max="14082" width="9.109375" style="6"/>
    <col min="14083" max="14083" width="10.44140625" style="6" customWidth="1"/>
    <col min="14084" max="14087" width="9.109375" style="6"/>
    <col min="14088" max="14088" width="9.33203125" style="6" customWidth="1"/>
    <col min="14089" max="14338" width="9.109375" style="6"/>
    <col min="14339" max="14339" width="10.44140625" style="6" customWidth="1"/>
    <col min="14340" max="14343" width="9.109375" style="6"/>
    <col min="14344" max="14344" width="9.33203125" style="6" customWidth="1"/>
    <col min="14345" max="14594" width="9.109375" style="6"/>
    <col min="14595" max="14595" width="10.44140625" style="6" customWidth="1"/>
    <col min="14596" max="14599" width="9.109375" style="6"/>
    <col min="14600" max="14600" width="9.33203125" style="6" customWidth="1"/>
    <col min="14601" max="14850" width="9.109375" style="6"/>
    <col min="14851" max="14851" width="10.44140625" style="6" customWidth="1"/>
    <col min="14852" max="14855" width="9.109375" style="6"/>
    <col min="14856" max="14856" width="9.33203125" style="6" customWidth="1"/>
    <col min="14857" max="15106" width="9.109375" style="6"/>
    <col min="15107" max="15107" width="10.44140625" style="6" customWidth="1"/>
    <col min="15108" max="15111" width="9.109375" style="6"/>
    <col min="15112" max="15112" width="9.33203125" style="6" customWidth="1"/>
    <col min="15113" max="15362" width="9.109375" style="6"/>
    <col min="15363" max="15363" width="10.44140625" style="6" customWidth="1"/>
    <col min="15364" max="15367" width="9.109375" style="6"/>
    <col min="15368" max="15368" width="9.33203125" style="6" customWidth="1"/>
    <col min="15369" max="15618" width="9.109375" style="6"/>
    <col min="15619" max="15619" width="10.44140625" style="6" customWidth="1"/>
    <col min="15620" max="15623" width="9.109375" style="6"/>
    <col min="15624" max="15624" width="9.33203125" style="6" customWidth="1"/>
    <col min="15625" max="15874" width="9.109375" style="6"/>
    <col min="15875" max="15875" width="10.44140625" style="6" customWidth="1"/>
    <col min="15876" max="15879" width="9.109375" style="6"/>
    <col min="15880" max="15880" width="9.33203125" style="6" customWidth="1"/>
    <col min="15881" max="16130" width="9.109375" style="6"/>
    <col min="16131" max="16131" width="10.44140625" style="6" customWidth="1"/>
    <col min="16132" max="16135" width="9.109375" style="6"/>
    <col min="16136" max="16136" width="9.33203125" style="6" customWidth="1"/>
    <col min="16137" max="16384" width="9.109375" style="6"/>
  </cols>
  <sheetData>
    <row r="1" spans="2:9" x14ac:dyDescent="0.3">
      <c r="B1" s="62"/>
      <c r="C1" s="62"/>
      <c r="D1" s="62"/>
      <c r="E1" s="62"/>
      <c r="F1" s="62"/>
      <c r="G1" s="62"/>
      <c r="H1" s="62"/>
      <c r="I1" s="62"/>
    </row>
    <row r="2" spans="2:9" x14ac:dyDescent="0.3">
      <c r="B2" s="610" t="str">
        <f>Calculations!B3</f>
        <v>DESIGN OF UNDERGROUND RECTANGULAR WATER TANK</v>
      </c>
      <c r="C2" s="610"/>
      <c r="D2" s="610"/>
      <c r="E2" s="610"/>
      <c r="F2" s="610"/>
      <c r="G2" s="610"/>
      <c r="H2" s="610"/>
      <c r="I2" s="610"/>
    </row>
    <row r="3" spans="2:9" x14ac:dyDescent="0.3">
      <c r="B3" s="62"/>
      <c r="C3" s="62"/>
      <c r="D3" s="62"/>
      <c r="E3" s="62"/>
      <c r="F3" s="62"/>
      <c r="G3" s="62"/>
      <c r="H3" s="62"/>
      <c r="I3" s="62"/>
    </row>
    <row r="4" spans="2:9" ht="15.6" x14ac:dyDescent="0.3">
      <c r="B4" s="611"/>
      <c r="C4" s="611"/>
      <c r="D4" s="612"/>
      <c r="E4" s="612"/>
      <c r="F4" s="612"/>
      <c r="G4" s="612"/>
      <c r="H4" s="612"/>
      <c r="I4" s="612"/>
    </row>
    <row r="5" spans="2:9" x14ac:dyDescent="0.3">
      <c r="B5" s="62"/>
      <c r="C5" s="63">
        <f>Calculations!E94</f>
        <v>20</v>
      </c>
      <c r="D5" s="62" t="s">
        <v>266</v>
      </c>
      <c r="E5" s="64">
        <f>Calculations!I94</f>
        <v>150</v>
      </c>
      <c r="F5" s="62" t="s">
        <v>157</v>
      </c>
      <c r="G5" s="62"/>
      <c r="H5" s="62"/>
      <c r="I5" s="62"/>
    </row>
    <row r="6" spans="2:9" x14ac:dyDescent="0.3">
      <c r="B6" s="62"/>
      <c r="C6" s="62"/>
      <c r="D6" s="63">
        <f>Calculations!E145</f>
        <v>12</v>
      </c>
      <c r="E6" s="62" t="s">
        <v>266</v>
      </c>
      <c r="F6" s="64">
        <f>Calculations!I145</f>
        <v>300</v>
      </c>
      <c r="G6" s="62" t="s">
        <v>157</v>
      </c>
      <c r="H6" s="65"/>
      <c r="I6" s="65"/>
    </row>
    <row r="7" spans="2:9" x14ac:dyDescent="0.3">
      <c r="B7" s="62"/>
      <c r="C7" s="66"/>
      <c r="D7" s="67"/>
      <c r="E7" s="67"/>
      <c r="F7" s="67"/>
      <c r="G7" s="67"/>
      <c r="H7" s="68"/>
      <c r="I7" s="613">
        <f>Calculations!I69/1000</f>
        <v>0.25</v>
      </c>
    </row>
    <row r="8" spans="2:9" x14ac:dyDescent="0.3">
      <c r="B8" s="62"/>
      <c r="C8" s="69"/>
      <c r="D8" s="62"/>
      <c r="E8" s="62"/>
      <c r="F8" s="62"/>
      <c r="G8" s="62"/>
      <c r="H8" s="70"/>
      <c r="I8" s="613"/>
    </row>
    <row r="9" spans="2:9" x14ac:dyDescent="0.3">
      <c r="B9" s="62"/>
      <c r="C9" s="69"/>
      <c r="D9" s="62"/>
      <c r="E9" s="62"/>
      <c r="F9" s="62"/>
      <c r="G9" s="62"/>
      <c r="H9" s="70"/>
      <c r="I9" s="62"/>
    </row>
    <row r="10" spans="2:9" x14ac:dyDescent="0.3">
      <c r="B10" s="70"/>
      <c r="C10" s="63"/>
      <c r="D10" s="63">
        <f>Calculations!O111</f>
        <v>20</v>
      </c>
      <c r="E10" s="62" t="s">
        <v>267</v>
      </c>
      <c r="F10" s="71">
        <f>Calculations!S111</f>
        <v>150</v>
      </c>
      <c r="G10" s="62" t="s">
        <v>157</v>
      </c>
      <c r="H10" s="70"/>
      <c r="I10" s="62"/>
    </row>
    <row r="11" spans="2:9" x14ac:dyDescent="0.3">
      <c r="B11" s="62"/>
      <c r="C11" s="69"/>
      <c r="D11" s="62"/>
      <c r="E11" s="62"/>
      <c r="F11" s="62"/>
      <c r="G11" s="62"/>
      <c r="H11" s="70"/>
      <c r="I11" s="62"/>
    </row>
    <row r="12" spans="2:9" x14ac:dyDescent="0.3">
      <c r="B12" s="62"/>
      <c r="C12" s="72"/>
      <c r="D12" s="62"/>
      <c r="E12" s="64"/>
      <c r="F12" s="62"/>
      <c r="G12" s="62"/>
      <c r="H12" s="70"/>
      <c r="I12" s="62"/>
    </row>
    <row r="13" spans="2:9" x14ac:dyDescent="0.3">
      <c r="B13" s="62"/>
      <c r="C13" s="69"/>
      <c r="D13" s="73">
        <f>Calculations!E131</f>
        <v>20</v>
      </c>
      <c r="E13" s="64" t="s">
        <v>268</v>
      </c>
      <c r="F13" s="71">
        <f>Calculations!I131</f>
        <v>280</v>
      </c>
      <c r="G13" s="62" t="s">
        <v>157</v>
      </c>
      <c r="H13" s="70"/>
      <c r="I13" s="74">
        <f>'Input Sheet'!C24</f>
        <v>2.8867513459481291</v>
      </c>
    </row>
    <row r="14" spans="2:9" x14ac:dyDescent="0.3">
      <c r="B14" s="62"/>
      <c r="C14" s="72"/>
      <c r="D14" s="62"/>
      <c r="E14" s="64"/>
      <c r="F14" s="62"/>
      <c r="G14" s="62"/>
      <c r="H14" s="70"/>
      <c r="I14" s="62"/>
    </row>
    <row r="15" spans="2:9" x14ac:dyDescent="0.3">
      <c r="B15" s="62"/>
      <c r="C15" s="69"/>
      <c r="D15" s="62"/>
      <c r="E15" s="64"/>
      <c r="F15" s="62"/>
      <c r="G15" s="62"/>
      <c r="H15" s="70"/>
      <c r="I15" s="62"/>
    </row>
    <row r="16" spans="2:9" x14ac:dyDescent="0.3">
      <c r="B16" s="70"/>
      <c r="C16" s="63"/>
      <c r="D16" s="62">
        <f>Calculations!E126</f>
        <v>20</v>
      </c>
      <c r="E16" s="64" t="s">
        <v>265</v>
      </c>
      <c r="F16" s="71">
        <f>Calculations!I126</f>
        <v>140</v>
      </c>
      <c r="G16" s="62" t="s">
        <v>157</v>
      </c>
      <c r="H16" s="70"/>
      <c r="I16" s="62"/>
    </row>
    <row r="17" spans="2:9" x14ac:dyDescent="0.3">
      <c r="B17" s="62"/>
      <c r="C17" s="72"/>
      <c r="D17" s="62"/>
      <c r="E17" s="64"/>
      <c r="F17" s="62"/>
      <c r="G17" s="62"/>
      <c r="H17" s="70"/>
      <c r="I17" s="62"/>
    </row>
    <row r="18" spans="2:9" x14ac:dyDescent="0.3">
      <c r="B18" s="62"/>
      <c r="C18" s="69"/>
      <c r="D18" s="62"/>
      <c r="E18" s="62"/>
      <c r="F18" s="62"/>
      <c r="G18" s="62"/>
      <c r="H18" s="70"/>
      <c r="I18" s="62"/>
    </row>
    <row r="19" spans="2:9" x14ac:dyDescent="0.3">
      <c r="B19" s="62"/>
      <c r="C19" s="69"/>
      <c r="D19" s="62"/>
      <c r="E19" s="62"/>
      <c r="F19" s="62"/>
      <c r="G19" s="62"/>
      <c r="H19" s="70"/>
      <c r="I19" s="613">
        <f>I7</f>
        <v>0.25</v>
      </c>
    </row>
    <row r="20" spans="2:9" x14ac:dyDescent="0.3">
      <c r="B20" s="62"/>
      <c r="C20" s="75"/>
      <c r="D20" s="76"/>
      <c r="E20" s="76"/>
      <c r="F20" s="76"/>
      <c r="G20" s="76"/>
      <c r="H20" s="77"/>
      <c r="I20" s="613"/>
    </row>
    <row r="21" spans="2:9" x14ac:dyDescent="0.3">
      <c r="B21" s="62"/>
      <c r="C21" s="62"/>
      <c r="D21" s="62"/>
      <c r="E21" s="62"/>
      <c r="F21" s="62"/>
      <c r="G21" s="62"/>
      <c r="H21" s="62"/>
      <c r="I21" s="62"/>
    </row>
    <row r="22" spans="2:9" x14ac:dyDescent="0.3">
      <c r="B22" s="62"/>
      <c r="C22" s="62"/>
      <c r="D22" s="62"/>
      <c r="E22" s="62"/>
      <c r="F22" s="62"/>
      <c r="G22" s="62"/>
      <c r="H22" s="62"/>
      <c r="I22" s="62"/>
    </row>
    <row r="23" spans="2:9" x14ac:dyDescent="0.3">
      <c r="B23" s="62"/>
      <c r="C23" s="78">
        <f>I19</f>
        <v>0.25</v>
      </c>
      <c r="D23" s="62"/>
      <c r="E23" s="79">
        <f>'Input Sheet'!C25</f>
        <v>8.6602540378443873</v>
      </c>
      <c r="F23" s="62" t="s">
        <v>2</v>
      </c>
      <c r="G23" s="62"/>
      <c r="H23" s="62">
        <f>C23</f>
        <v>0.25</v>
      </c>
      <c r="I23" s="62"/>
    </row>
    <row r="24" spans="2:9" ht="12.75" customHeight="1" x14ac:dyDescent="0.3">
      <c r="B24" s="62"/>
      <c r="C24" s="62"/>
      <c r="D24" s="62"/>
      <c r="E24" s="71"/>
      <c r="F24" s="62"/>
      <c r="G24" s="62"/>
      <c r="H24" s="62"/>
      <c r="I24" s="62"/>
    </row>
    <row r="25" spans="2:9" ht="18" x14ac:dyDescent="0.35">
      <c r="B25" s="609" t="s">
        <v>240</v>
      </c>
      <c r="C25" s="609"/>
      <c r="D25" s="609"/>
      <c r="E25" s="609"/>
      <c r="F25" s="609"/>
      <c r="G25" s="609"/>
      <c r="H25" s="609"/>
      <c r="I25" s="609"/>
    </row>
    <row r="26" spans="2:9" x14ac:dyDescent="0.3">
      <c r="B26" s="64"/>
      <c r="C26" s="62"/>
      <c r="D26" s="62"/>
      <c r="E26" s="71"/>
      <c r="F26" s="62"/>
      <c r="G26" s="62"/>
      <c r="H26" s="62"/>
      <c r="I26" s="62"/>
    </row>
    <row r="27" spans="2:9" x14ac:dyDescent="0.3">
      <c r="B27" s="80"/>
      <c r="C27" s="80"/>
      <c r="D27" s="80"/>
      <c r="E27" s="80"/>
      <c r="F27" s="80"/>
      <c r="G27" s="80"/>
      <c r="H27" s="80"/>
      <c r="I27" s="80"/>
    </row>
    <row r="28" spans="2:9" x14ac:dyDescent="0.3">
      <c r="B28" s="64"/>
      <c r="C28" s="62"/>
      <c r="D28" s="62"/>
      <c r="E28" s="71"/>
      <c r="F28" s="62"/>
      <c r="G28" s="62"/>
      <c r="H28" s="62"/>
      <c r="I28" s="62"/>
    </row>
    <row r="29" spans="2:9" x14ac:dyDescent="0.3">
      <c r="B29" s="614"/>
      <c r="C29" s="62"/>
      <c r="D29" s="62"/>
      <c r="E29" s="81" t="s">
        <v>264</v>
      </c>
      <c r="F29" s="82"/>
      <c r="G29" s="62"/>
      <c r="H29" s="62"/>
      <c r="I29" s="62"/>
    </row>
    <row r="30" spans="2:9" x14ac:dyDescent="0.3">
      <c r="B30" s="614"/>
      <c r="C30" s="63">
        <f>C36</f>
        <v>10</v>
      </c>
      <c r="D30" s="62" t="s">
        <v>267</v>
      </c>
      <c r="E30" s="64">
        <f>G38</f>
        <v>230</v>
      </c>
      <c r="F30" s="62" t="s">
        <v>157</v>
      </c>
      <c r="G30" s="62"/>
      <c r="H30" s="64"/>
      <c r="I30" s="62"/>
    </row>
    <row r="31" spans="2:9" x14ac:dyDescent="0.3">
      <c r="B31" s="64"/>
      <c r="C31" s="63"/>
      <c r="D31" s="62"/>
      <c r="E31" s="62"/>
      <c r="F31" s="62"/>
      <c r="G31" s="62"/>
      <c r="H31" s="62"/>
      <c r="I31" s="62"/>
    </row>
    <row r="32" spans="2:9" x14ac:dyDescent="0.3">
      <c r="B32" s="64"/>
      <c r="C32" s="62"/>
      <c r="D32" s="62"/>
      <c r="E32" s="63">
        <f>E38</f>
        <v>10</v>
      </c>
      <c r="F32" s="62" t="s">
        <v>267</v>
      </c>
      <c r="G32" s="64">
        <f>G38*2</f>
        <v>460</v>
      </c>
      <c r="H32" s="62" t="s">
        <v>262</v>
      </c>
      <c r="I32" s="62"/>
    </row>
    <row r="33" spans="2:9" x14ac:dyDescent="0.3">
      <c r="B33" s="64"/>
      <c r="C33" s="62"/>
      <c r="D33" s="62"/>
      <c r="E33" s="64"/>
      <c r="F33" s="62"/>
      <c r="G33" s="62"/>
      <c r="H33" s="62"/>
      <c r="I33" s="83"/>
    </row>
    <row r="34" spans="2:9" x14ac:dyDescent="0.3">
      <c r="B34" s="64"/>
      <c r="C34" s="62"/>
      <c r="D34" s="62"/>
      <c r="E34" s="63"/>
      <c r="F34" s="62"/>
      <c r="G34" s="64"/>
      <c r="H34" s="62"/>
      <c r="I34" s="62"/>
    </row>
    <row r="35" spans="2:9" x14ac:dyDescent="0.3">
      <c r="B35" s="64"/>
      <c r="C35" s="62"/>
      <c r="D35" s="62"/>
      <c r="E35" s="62"/>
      <c r="F35" s="62"/>
      <c r="G35" s="62"/>
      <c r="H35" s="62"/>
      <c r="I35" s="62"/>
    </row>
    <row r="36" spans="2:9" x14ac:dyDescent="0.3">
      <c r="B36" s="64"/>
      <c r="C36" s="63">
        <f>Calculations!E155</f>
        <v>10</v>
      </c>
      <c r="D36" s="62" t="s">
        <v>267</v>
      </c>
      <c r="E36" s="64">
        <f>Calculations!I155</f>
        <v>260</v>
      </c>
      <c r="F36" s="62" t="s">
        <v>157</v>
      </c>
      <c r="G36" s="62"/>
      <c r="H36" s="64"/>
      <c r="I36" s="62"/>
    </row>
    <row r="37" spans="2:9" x14ac:dyDescent="0.3">
      <c r="B37" s="79"/>
      <c r="C37" s="63">
        <f>Calculations!E155</f>
        <v>10</v>
      </c>
      <c r="D37" s="62" t="s">
        <v>267</v>
      </c>
      <c r="E37" s="64">
        <f>Calculations!I155</f>
        <v>260</v>
      </c>
      <c r="F37" s="62" t="s">
        <v>157</v>
      </c>
      <c r="G37" s="62"/>
      <c r="H37" s="62"/>
      <c r="I37" s="83"/>
    </row>
    <row r="38" spans="2:9" x14ac:dyDescent="0.3">
      <c r="B38" s="64"/>
      <c r="C38" s="62"/>
      <c r="D38" s="62"/>
      <c r="E38" s="63">
        <v>10</v>
      </c>
      <c r="F38" s="62" t="s">
        <v>267</v>
      </c>
      <c r="G38" s="64">
        <v>230</v>
      </c>
      <c r="H38" s="62" t="s">
        <v>17</v>
      </c>
      <c r="I38" s="74"/>
    </row>
    <row r="39" spans="2:9" x14ac:dyDescent="0.3">
      <c r="B39" s="64"/>
      <c r="C39" s="62"/>
      <c r="D39" s="62"/>
      <c r="E39" s="62"/>
      <c r="F39" s="62"/>
      <c r="G39" s="62"/>
      <c r="H39" s="62"/>
      <c r="I39" s="90"/>
    </row>
    <row r="40" spans="2:9" x14ac:dyDescent="0.3">
      <c r="B40" s="64"/>
      <c r="C40" s="62"/>
      <c r="D40" s="62"/>
      <c r="E40" s="62"/>
      <c r="F40" s="62"/>
      <c r="G40" s="62"/>
      <c r="H40" s="62"/>
      <c r="I40" s="91">
        <f>Calculations!H148/1000</f>
        <v>0.15</v>
      </c>
    </row>
    <row r="41" spans="2:9" x14ac:dyDescent="0.3">
      <c r="B41" s="74"/>
      <c r="C41" s="62"/>
      <c r="D41" s="62"/>
      <c r="E41" s="62"/>
      <c r="F41" s="62"/>
      <c r="G41" s="84"/>
      <c r="H41" s="62"/>
      <c r="I41" s="90"/>
    </row>
    <row r="42" spans="2:9" x14ac:dyDescent="0.3">
      <c r="B42" s="64"/>
      <c r="C42" s="64"/>
      <c r="D42" s="78"/>
      <c r="E42" s="62"/>
      <c r="F42" s="62"/>
      <c r="G42" s="62"/>
      <c r="H42" s="62"/>
      <c r="I42" s="62"/>
    </row>
    <row r="43" spans="2:9" x14ac:dyDescent="0.3">
      <c r="B43" s="64"/>
      <c r="C43" s="62"/>
      <c r="D43" s="62"/>
      <c r="E43" s="62"/>
      <c r="F43" s="62"/>
      <c r="G43" s="62"/>
      <c r="H43" s="62"/>
      <c r="I43" s="62"/>
    </row>
    <row r="44" spans="2:9" x14ac:dyDescent="0.3">
      <c r="B44" s="64"/>
      <c r="C44" s="62"/>
      <c r="D44" s="85"/>
      <c r="E44" s="62"/>
      <c r="F44" s="74"/>
      <c r="G44" s="85"/>
      <c r="H44" s="62"/>
      <c r="I44" s="62"/>
    </row>
    <row r="45" spans="2:9" x14ac:dyDescent="0.3">
      <c r="B45" s="62"/>
      <c r="C45" s="615"/>
      <c r="D45" s="85"/>
      <c r="E45" s="86"/>
      <c r="F45" s="86" t="s">
        <v>263</v>
      </c>
      <c r="G45" s="62"/>
      <c r="H45" s="615"/>
      <c r="I45" s="62"/>
    </row>
    <row r="46" spans="2:9" x14ac:dyDescent="0.3">
      <c r="B46" s="62"/>
      <c r="C46" s="615"/>
      <c r="D46" s="62"/>
      <c r="E46" s="62"/>
      <c r="F46" s="62"/>
      <c r="G46" s="62"/>
      <c r="H46" s="615"/>
      <c r="I46" s="62"/>
    </row>
    <row r="47" spans="2:9" x14ac:dyDescent="0.3">
      <c r="B47" s="62"/>
      <c r="C47" s="87"/>
      <c r="D47" s="62"/>
      <c r="E47" s="63"/>
      <c r="F47" s="62"/>
      <c r="G47" s="88"/>
      <c r="H47" s="62"/>
      <c r="I47" s="62"/>
    </row>
    <row r="48" spans="2:9" x14ac:dyDescent="0.3">
      <c r="B48" s="62"/>
      <c r="C48" s="62"/>
      <c r="D48" s="62"/>
      <c r="E48" s="62"/>
      <c r="F48" s="62"/>
      <c r="G48" s="62"/>
      <c r="H48" s="62"/>
      <c r="I48" s="62"/>
    </row>
    <row r="49" spans="2:9" x14ac:dyDescent="0.3">
      <c r="B49" s="62"/>
      <c r="C49" s="62"/>
      <c r="D49" s="62"/>
      <c r="E49" s="62"/>
      <c r="F49" s="62"/>
      <c r="G49" s="62"/>
      <c r="H49" s="62"/>
      <c r="I49" s="62"/>
    </row>
    <row r="50" spans="2:9" x14ac:dyDescent="0.3">
      <c r="B50" s="62"/>
      <c r="C50" s="608"/>
      <c r="D50" s="608"/>
      <c r="E50" s="63">
        <f>Calculations!D178</f>
        <v>12</v>
      </c>
      <c r="F50" s="62" t="s">
        <v>266</v>
      </c>
      <c r="G50" s="78">
        <f>Calculations!H178</f>
        <v>110</v>
      </c>
      <c r="H50" s="83">
        <f>Calculations!G5</f>
        <v>8.6602540378443873</v>
      </c>
      <c r="I50" s="62"/>
    </row>
    <row r="51" spans="2:9" x14ac:dyDescent="0.3">
      <c r="B51" s="62"/>
      <c r="C51" s="62"/>
      <c r="D51" s="62"/>
      <c r="E51" s="63">
        <f>Calculations!D178</f>
        <v>12</v>
      </c>
      <c r="F51" s="62" t="s">
        <v>266</v>
      </c>
      <c r="G51" s="78">
        <f>Calculations!H178</f>
        <v>110</v>
      </c>
      <c r="H51" s="62"/>
      <c r="I51" s="62"/>
    </row>
    <row r="52" spans="2:9" x14ac:dyDescent="0.3">
      <c r="B52" s="62"/>
      <c r="C52" s="62"/>
      <c r="D52" s="62"/>
      <c r="E52" s="62"/>
      <c r="F52" s="62"/>
      <c r="G52" s="62"/>
      <c r="H52" s="62"/>
      <c r="I52" s="62"/>
    </row>
    <row r="53" spans="2:9" x14ac:dyDescent="0.3">
      <c r="B53" s="62"/>
      <c r="C53" s="608"/>
      <c r="D53" s="608"/>
      <c r="E53" s="63"/>
      <c r="F53" s="62"/>
      <c r="G53" s="78"/>
      <c r="H53" s="62"/>
      <c r="I53" s="62"/>
    </row>
    <row r="54" spans="2:9" x14ac:dyDescent="0.3">
      <c r="B54" s="62"/>
      <c r="C54" s="89"/>
      <c r="D54" s="62"/>
      <c r="E54" s="63"/>
      <c r="F54" s="62"/>
      <c r="G54" s="78"/>
      <c r="H54" s="74"/>
      <c r="I54" s="62"/>
    </row>
    <row r="55" spans="2:9" x14ac:dyDescent="0.3">
      <c r="B55" s="62"/>
      <c r="C55" s="62"/>
      <c r="D55" s="62"/>
      <c r="E55" s="62"/>
      <c r="F55" s="62"/>
      <c r="G55" s="62"/>
      <c r="H55" s="62"/>
      <c r="I55" s="62"/>
    </row>
    <row r="56" spans="2:9" x14ac:dyDescent="0.3">
      <c r="B56" s="62"/>
      <c r="C56" s="62"/>
      <c r="D56" s="62"/>
      <c r="E56" s="62"/>
      <c r="F56" s="62"/>
      <c r="G56" s="62"/>
      <c r="H56" s="74">
        <f>Calculations!F171/1000</f>
        <v>0.11</v>
      </c>
      <c r="I56" s="62" t="s">
        <v>2</v>
      </c>
    </row>
    <row r="57" spans="2:9" x14ac:dyDescent="0.3">
      <c r="B57" s="62"/>
      <c r="C57" s="62"/>
      <c r="D57" s="62"/>
      <c r="E57" s="62"/>
      <c r="F57" s="62"/>
      <c r="G57" s="62"/>
      <c r="H57" s="62"/>
      <c r="I57" s="62"/>
    </row>
    <row r="58" spans="2:9" x14ac:dyDescent="0.3">
      <c r="B58" s="62"/>
      <c r="C58" s="62"/>
      <c r="D58" s="62"/>
      <c r="E58" s="62"/>
      <c r="F58" s="62"/>
      <c r="G58" s="71"/>
      <c r="H58" s="62"/>
      <c r="I58" s="62"/>
    </row>
    <row r="59" spans="2:9" x14ac:dyDescent="0.3">
      <c r="B59" s="62"/>
      <c r="C59" s="62"/>
      <c r="D59" s="62"/>
      <c r="E59" s="62"/>
      <c r="F59" s="64"/>
      <c r="G59" s="62"/>
      <c r="H59" s="62"/>
      <c r="I59" s="62"/>
    </row>
    <row r="60" spans="2:9" x14ac:dyDescent="0.3">
      <c r="B60" s="62"/>
      <c r="C60" s="62"/>
      <c r="D60" s="62"/>
      <c r="E60" s="62"/>
      <c r="F60" s="62"/>
      <c r="G60" s="62"/>
      <c r="H60" s="62"/>
      <c r="I60" s="62"/>
    </row>
    <row r="61" spans="2:9" x14ac:dyDescent="0.3">
      <c r="B61" s="62"/>
      <c r="C61" s="62"/>
      <c r="D61" s="62"/>
      <c r="E61" s="62"/>
      <c r="F61" s="62"/>
      <c r="G61" s="62"/>
      <c r="H61" s="62"/>
      <c r="I61" s="62"/>
    </row>
    <row r="62" spans="2:9" x14ac:dyDescent="0.3">
      <c r="B62" s="62"/>
      <c r="C62" s="76"/>
      <c r="D62" s="62"/>
      <c r="E62" s="62"/>
      <c r="F62" s="62"/>
      <c r="G62" s="62"/>
      <c r="H62" s="62"/>
      <c r="I62" s="62"/>
    </row>
  </sheetData>
  <mergeCells count="11">
    <mergeCell ref="C53:D53"/>
    <mergeCell ref="B25:I25"/>
    <mergeCell ref="B2:I2"/>
    <mergeCell ref="B4:C4"/>
    <mergeCell ref="D4:I4"/>
    <mergeCell ref="I7:I8"/>
    <mergeCell ref="I19:I20"/>
    <mergeCell ref="B29:B30"/>
    <mergeCell ref="C45:C46"/>
    <mergeCell ref="H45:H46"/>
    <mergeCell ref="C50:D5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2C3F-F091-485F-8671-84213E35FBFE}">
  <sheetPr>
    <tabColor theme="1"/>
  </sheetPr>
  <dimension ref="D1:S48"/>
  <sheetViews>
    <sheetView workbookViewId="0">
      <selection activeCell="N9" sqref="N9"/>
    </sheetView>
  </sheetViews>
  <sheetFormatPr defaultRowHeight="14.4" x14ac:dyDescent="0.3"/>
  <cols>
    <col min="1" max="1" width="11.6640625" customWidth="1"/>
    <col min="2" max="2" width="11" customWidth="1"/>
    <col min="3" max="3" width="4.77734375" customWidth="1"/>
    <col min="4" max="8" width="11" customWidth="1"/>
  </cols>
  <sheetData>
    <row r="1" spans="4:19" x14ac:dyDescent="0.3">
      <c r="D1" s="7"/>
      <c r="E1" s="7"/>
      <c r="F1" s="7"/>
      <c r="G1" s="7"/>
      <c r="H1" s="7"/>
      <c r="I1" s="7"/>
      <c r="J1" s="7"/>
      <c r="K1" s="7"/>
    </row>
    <row r="2" spans="4:19" ht="21" x14ac:dyDescent="0.3">
      <c r="D2" s="7"/>
      <c r="E2" s="7"/>
      <c r="F2" s="7"/>
      <c r="G2" s="60" t="s">
        <v>239</v>
      </c>
      <c r="H2" s="7"/>
      <c r="I2" s="7"/>
      <c r="J2" s="7"/>
      <c r="K2" s="7"/>
    </row>
    <row r="3" spans="4:19" x14ac:dyDescent="0.3">
      <c r="D3" s="7"/>
      <c r="E3" s="7"/>
      <c r="F3" s="7"/>
      <c r="G3" s="7"/>
      <c r="H3" s="7"/>
      <c r="I3" s="7"/>
      <c r="J3" s="7"/>
      <c r="K3" s="7"/>
    </row>
    <row r="4" spans="4:19" ht="15.6" x14ac:dyDescent="0.3">
      <c r="D4" s="58" t="s">
        <v>136</v>
      </c>
    </row>
    <row r="5" spans="4:19" x14ac:dyDescent="0.3">
      <c r="D5" t="s">
        <v>71</v>
      </c>
      <c r="F5">
        <f>Calculations!K67</f>
        <v>198</v>
      </c>
      <c r="G5" t="s">
        <v>17</v>
      </c>
    </row>
    <row r="6" spans="4:19" x14ac:dyDescent="0.3">
      <c r="D6" t="s">
        <v>232</v>
      </c>
      <c r="F6">
        <f>Calculations!Q69</f>
        <v>200</v>
      </c>
      <c r="G6" t="s">
        <v>17</v>
      </c>
      <c r="S6" s="6"/>
    </row>
    <row r="7" spans="4:19" x14ac:dyDescent="0.3">
      <c r="D7" t="s">
        <v>233</v>
      </c>
      <c r="F7">
        <f>Calculations!I69</f>
        <v>250</v>
      </c>
      <c r="G7" t="s">
        <v>17</v>
      </c>
    </row>
    <row r="9" spans="4:19" x14ac:dyDescent="0.3">
      <c r="D9" s="59" t="s">
        <v>139</v>
      </c>
    </row>
    <row r="10" spans="4:19" x14ac:dyDescent="0.3">
      <c r="D10" t="s">
        <v>234</v>
      </c>
      <c r="G10">
        <f>Calculations!Q72</f>
        <v>14159.515351875572</v>
      </c>
      <c r="H10" t="s">
        <v>74</v>
      </c>
    </row>
    <row r="11" spans="4:19" x14ac:dyDescent="0.3">
      <c r="D11" t="s">
        <v>235</v>
      </c>
      <c r="G11">
        <f>Calculations!Q73</f>
        <v>42478.546055626721</v>
      </c>
      <c r="H11" t="s">
        <v>74</v>
      </c>
    </row>
    <row r="13" spans="4:19" x14ac:dyDescent="0.3">
      <c r="D13" s="59" t="s">
        <v>140</v>
      </c>
    </row>
    <row r="14" spans="4:19" x14ac:dyDescent="0.3">
      <c r="D14" t="s">
        <v>141</v>
      </c>
      <c r="G14">
        <f>Calculations!O76</f>
        <v>4720</v>
      </c>
      <c r="H14" t="s">
        <v>35</v>
      </c>
    </row>
    <row r="16" spans="4:19" x14ac:dyDescent="0.3">
      <c r="D16" s="59" t="s">
        <v>142</v>
      </c>
    </row>
    <row r="17" spans="4:8" x14ac:dyDescent="0.3">
      <c r="D17" t="s">
        <v>12</v>
      </c>
      <c r="G17">
        <f>Calculations!K84</f>
        <v>73</v>
      </c>
      <c r="H17" t="s">
        <v>2</v>
      </c>
    </row>
    <row r="18" spans="4:8" ht="16.8" x14ac:dyDescent="0.35">
      <c r="D18" t="s">
        <v>269</v>
      </c>
      <c r="G18" s="8">
        <f>Calculations!O86</f>
        <v>1993</v>
      </c>
      <c r="H18" t="s">
        <v>276</v>
      </c>
    </row>
    <row r="19" spans="4:8" ht="16.8" x14ac:dyDescent="0.35">
      <c r="D19" t="s">
        <v>270</v>
      </c>
      <c r="G19">
        <f>Calculations!K88</f>
        <v>94</v>
      </c>
      <c r="H19" t="s">
        <v>276</v>
      </c>
    </row>
    <row r="20" spans="4:8" ht="16.8" x14ac:dyDescent="0.35">
      <c r="D20" t="s">
        <v>271</v>
      </c>
      <c r="G20" s="8">
        <f>Calculations!K90</f>
        <v>2087</v>
      </c>
      <c r="H20" t="s">
        <v>276</v>
      </c>
    </row>
    <row r="22" spans="4:8" x14ac:dyDescent="0.3">
      <c r="D22" s="59" t="s">
        <v>144</v>
      </c>
    </row>
    <row r="23" spans="4:8" x14ac:dyDescent="0.3">
      <c r="D23" t="s">
        <v>99</v>
      </c>
      <c r="G23">
        <f>Calculations!E102</f>
        <v>37196</v>
      </c>
      <c r="H23" t="str">
        <f>Calculations!T63</f>
        <v>N-m/m</v>
      </c>
    </row>
    <row r="24" spans="4:8" ht="16.8" x14ac:dyDescent="0.35">
      <c r="D24" t="s">
        <v>272</v>
      </c>
      <c r="G24" s="8">
        <f>Calculations!O103</f>
        <v>1341</v>
      </c>
      <c r="H24" t="s">
        <v>276</v>
      </c>
    </row>
    <row r="25" spans="4:8" ht="16.8" x14ac:dyDescent="0.35">
      <c r="D25" t="s">
        <v>270</v>
      </c>
      <c r="G25">
        <f>Calculations!K105</f>
        <v>94</v>
      </c>
      <c r="H25" t="s">
        <v>276</v>
      </c>
    </row>
    <row r="26" spans="4:8" ht="16.8" x14ac:dyDescent="0.35">
      <c r="D26" t="s">
        <v>271</v>
      </c>
      <c r="G26" s="8">
        <f>Calculations!K107</f>
        <v>1435</v>
      </c>
      <c r="H26" t="s">
        <v>277</v>
      </c>
    </row>
    <row r="29" spans="4:8" x14ac:dyDescent="0.3">
      <c r="D29" s="59" t="s">
        <v>236</v>
      </c>
    </row>
    <row r="30" spans="4:8" ht="15.6" x14ac:dyDescent="0.35">
      <c r="D30" t="s">
        <v>278</v>
      </c>
      <c r="G30">
        <f>Calculations!G117</f>
        <v>54773</v>
      </c>
      <c r="H30" t="str">
        <f>H23</f>
        <v>N-m/m</v>
      </c>
    </row>
    <row r="31" spans="4:8" ht="15.6" x14ac:dyDescent="0.35">
      <c r="D31" t="s">
        <v>273</v>
      </c>
      <c r="G31">
        <f>Calculations!N117</f>
        <v>42478.546055626721</v>
      </c>
      <c r="H31" t="str">
        <f>Calculations!T73</f>
        <v>N</v>
      </c>
    </row>
    <row r="32" spans="4:8" ht="16.8" x14ac:dyDescent="0.35">
      <c r="D32" t="s">
        <v>269</v>
      </c>
      <c r="G32" s="8">
        <f>Calculations!O118</f>
        <v>1916</v>
      </c>
      <c r="H32" t="s">
        <v>276</v>
      </c>
    </row>
    <row r="33" spans="4:11" ht="16.8" x14ac:dyDescent="0.35">
      <c r="D33" t="s">
        <v>270</v>
      </c>
      <c r="G33">
        <f>Calculations!K120</f>
        <v>283</v>
      </c>
      <c r="H33" t="s">
        <v>276</v>
      </c>
    </row>
    <row r="34" spans="4:11" ht="16.8" x14ac:dyDescent="0.35">
      <c r="D34" t="s">
        <v>271</v>
      </c>
      <c r="G34" s="8">
        <f>Calculations!K122</f>
        <v>2199</v>
      </c>
      <c r="H34" t="s">
        <v>277</v>
      </c>
    </row>
    <row r="36" spans="4:11" x14ac:dyDescent="0.3">
      <c r="D36" s="59" t="s">
        <v>151</v>
      </c>
    </row>
    <row r="37" spans="4:11" x14ac:dyDescent="0.3">
      <c r="D37" t="s">
        <v>237</v>
      </c>
      <c r="G37">
        <f>Calculations!H134</f>
        <v>4720</v>
      </c>
      <c r="H37" t="str">
        <f>Calculations!Q76</f>
        <v>N-m</v>
      </c>
    </row>
    <row r="38" spans="4:11" ht="16.8" x14ac:dyDescent="0.35">
      <c r="D38" t="s">
        <v>274</v>
      </c>
      <c r="G38">
        <f>Calculations!K135</f>
        <v>175</v>
      </c>
      <c r="H38" t="s">
        <v>276</v>
      </c>
    </row>
    <row r="39" spans="4:11" x14ac:dyDescent="0.3">
      <c r="D39" t="s">
        <v>238</v>
      </c>
      <c r="G39">
        <f>Calculations!I145</f>
        <v>300</v>
      </c>
      <c r="H39" t="s">
        <v>17</v>
      </c>
    </row>
    <row r="41" spans="4:11" x14ac:dyDescent="0.3">
      <c r="D41" s="59" t="s">
        <v>156</v>
      </c>
    </row>
    <row r="42" spans="4:11" ht="16.8" x14ac:dyDescent="0.35">
      <c r="D42" t="s">
        <v>275</v>
      </c>
      <c r="G42">
        <f>Calculations!K150</f>
        <v>300</v>
      </c>
      <c r="H42" t="s">
        <v>276</v>
      </c>
    </row>
    <row r="43" spans="4:11" x14ac:dyDescent="0.3">
      <c r="D43" t="s">
        <v>238</v>
      </c>
      <c r="G43">
        <f>Calculations!I155</f>
        <v>260</v>
      </c>
      <c r="H43" t="s">
        <v>17</v>
      </c>
    </row>
    <row r="44" spans="4:11" x14ac:dyDescent="0.3">
      <c r="D44" s="61"/>
      <c r="E44" s="61"/>
      <c r="F44" s="61"/>
      <c r="G44" s="61"/>
      <c r="H44" s="61"/>
      <c r="I44" s="61"/>
      <c r="J44" s="61"/>
      <c r="K44" s="61"/>
    </row>
    <row r="45" spans="4:11" x14ac:dyDescent="0.3">
      <c r="D45" s="59" t="s">
        <v>241</v>
      </c>
    </row>
    <row r="46" spans="4:11" ht="16.8" x14ac:dyDescent="0.35">
      <c r="D46" s="61" t="s">
        <v>369</v>
      </c>
      <c r="E46" s="61"/>
      <c r="F46" s="61"/>
      <c r="G46" s="61">
        <f>ROUNDUP(Calculations!M172,0)</f>
        <v>1103</v>
      </c>
      <c r="H46" s="61" t="s">
        <v>276</v>
      </c>
      <c r="I46" s="61"/>
      <c r="J46" s="61"/>
      <c r="K46" s="61"/>
    </row>
    <row r="47" spans="4:11" x14ac:dyDescent="0.3">
      <c r="D47" t="s">
        <v>370</v>
      </c>
      <c r="G47">
        <f>Calculations!H178</f>
        <v>110</v>
      </c>
      <c r="H47" t="s">
        <v>17</v>
      </c>
    </row>
    <row r="48" spans="4:11" x14ac:dyDescent="0.3">
      <c r="D48" s="61"/>
      <c r="E48" s="61"/>
      <c r="F48" s="61"/>
      <c r="G48" s="61"/>
      <c r="H48" s="61"/>
      <c r="I48" s="61"/>
      <c r="J48" s="61"/>
      <c r="K48" s="61"/>
    </row>
  </sheetData>
  <phoneticPr fontId="43" type="noConversion"/>
  <conditionalFormatting sqref="E3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12C1-ABA1-4F2D-B8DA-C63AC1410A95}">
  <sheetPr>
    <tabColor rgb="FF00B0F0"/>
  </sheetPr>
  <dimension ref="A1:S351"/>
  <sheetViews>
    <sheetView tabSelected="1" workbookViewId="0">
      <selection activeCell="A6" sqref="A6:A9"/>
    </sheetView>
  </sheetViews>
  <sheetFormatPr defaultRowHeight="14.4" x14ac:dyDescent="0.3"/>
  <cols>
    <col min="9" max="9" width="1.5546875" customWidth="1"/>
    <col min="10" max="10" width="13.6640625" customWidth="1"/>
    <col min="265" max="265" width="1.5546875" customWidth="1"/>
    <col min="266" max="266" width="13.6640625" customWidth="1"/>
    <col min="521" max="521" width="1.5546875" customWidth="1"/>
    <col min="522" max="522" width="13.6640625" customWidth="1"/>
    <col min="777" max="777" width="1.5546875" customWidth="1"/>
    <col min="778" max="778" width="13.6640625" customWidth="1"/>
    <col min="1033" max="1033" width="1.5546875" customWidth="1"/>
    <col min="1034" max="1034" width="13.6640625" customWidth="1"/>
    <col min="1289" max="1289" width="1.5546875" customWidth="1"/>
    <col min="1290" max="1290" width="13.6640625" customWidth="1"/>
    <col min="1545" max="1545" width="1.5546875" customWidth="1"/>
    <col min="1546" max="1546" width="13.6640625" customWidth="1"/>
    <col min="1801" max="1801" width="1.5546875" customWidth="1"/>
    <col min="1802" max="1802" width="13.6640625" customWidth="1"/>
    <col min="2057" max="2057" width="1.5546875" customWidth="1"/>
    <col min="2058" max="2058" width="13.6640625" customWidth="1"/>
    <col min="2313" max="2313" width="1.5546875" customWidth="1"/>
    <col min="2314" max="2314" width="13.6640625" customWidth="1"/>
    <col min="2569" max="2569" width="1.5546875" customWidth="1"/>
    <col min="2570" max="2570" width="13.6640625" customWidth="1"/>
    <col min="2825" max="2825" width="1.5546875" customWidth="1"/>
    <col min="2826" max="2826" width="13.6640625" customWidth="1"/>
    <col min="3081" max="3081" width="1.5546875" customWidth="1"/>
    <col min="3082" max="3082" width="13.6640625" customWidth="1"/>
    <col min="3337" max="3337" width="1.5546875" customWidth="1"/>
    <col min="3338" max="3338" width="13.6640625" customWidth="1"/>
    <col min="3593" max="3593" width="1.5546875" customWidth="1"/>
    <col min="3594" max="3594" width="13.6640625" customWidth="1"/>
    <col min="3849" max="3849" width="1.5546875" customWidth="1"/>
    <col min="3850" max="3850" width="13.6640625" customWidth="1"/>
    <col min="4105" max="4105" width="1.5546875" customWidth="1"/>
    <col min="4106" max="4106" width="13.6640625" customWidth="1"/>
    <col min="4361" max="4361" width="1.5546875" customWidth="1"/>
    <col min="4362" max="4362" width="13.6640625" customWidth="1"/>
    <col min="4617" max="4617" width="1.5546875" customWidth="1"/>
    <col min="4618" max="4618" width="13.6640625" customWidth="1"/>
    <col min="4873" max="4873" width="1.5546875" customWidth="1"/>
    <col min="4874" max="4874" width="13.6640625" customWidth="1"/>
    <col min="5129" max="5129" width="1.5546875" customWidth="1"/>
    <col min="5130" max="5130" width="13.6640625" customWidth="1"/>
    <col min="5385" max="5385" width="1.5546875" customWidth="1"/>
    <col min="5386" max="5386" width="13.6640625" customWidth="1"/>
    <col min="5641" max="5641" width="1.5546875" customWidth="1"/>
    <col min="5642" max="5642" width="13.6640625" customWidth="1"/>
    <col min="5897" max="5897" width="1.5546875" customWidth="1"/>
    <col min="5898" max="5898" width="13.6640625" customWidth="1"/>
    <col min="6153" max="6153" width="1.5546875" customWidth="1"/>
    <col min="6154" max="6154" width="13.6640625" customWidth="1"/>
    <col min="6409" max="6409" width="1.5546875" customWidth="1"/>
    <col min="6410" max="6410" width="13.6640625" customWidth="1"/>
    <col min="6665" max="6665" width="1.5546875" customWidth="1"/>
    <col min="6666" max="6666" width="13.6640625" customWidth="1"/>
    <col min="6921" max="6921" width="1.5546875" customWidth="1"/>
    <col min="6922" max="6922" width="13.6640625" customWidth="1"/>
    <col min="7177" max="7177" width="1.5546875" customWidth="1"/>
    <col min="7178" max="7178" width="13.6640625" customWidth="1"/>
    <col min="7433" max="7433" width="1.5546875" customWidth="1"/>
    <col min="7434" max="7434" width="13.6640625" customWidth="1"/>
    <col min="7689" max="7689" width="1.5546875" customWidth="1"/>
    <col min="7690" max="7690" width="13.6640625" customWidth="1"/>
    <col min="7945" max="7945" width="1.5546875" customWidth="1"/>
    <col min="7946" max="7946" width="13.6640625" customWidth="1"/>
    <col min="8201" max="8201" width="1.5546875" customWidth="1"/>
    <col min="8202" max="8202" width="13.6640625" customWidth="1"/>
    <col min="8457" max="8457" width="1.5546875" customWidth="1"/>
    <col min="8458" max="8458" width="13.6640625" customWidth="1"/>
    <col min="8713" max="8713" width="1.5546875" customWidth="1"/>
    <col min="8714" max="8714" width="13.6640625" customWidth="1"/>
    <col min="8969" max="8969" width="1.5546875" customWidth="1"/>
    <col min="8970" max="8970" width="13.6640625" customWidth="1"/>
    <col min="9225" max="9225" width="1.5546875" customWidth="1"/>
    <col min="9226" max="9226" width="13.6640625" customWidth="1"/>
    <col min="9481" max="9481" width="1.5546875" customWidth="1"/>
    <col min="9482" max="9482" width="13.6640625" customWidth="1"/>
    <col min="9737" max="9737" width="1.5546875" customWidth="1"/>
    <col min="9738" max="9738" width="13.6640625" customWidth="1"/>
    <col min="9993" max="9993" width="1.5546875" customWidth="1"/>
    <col min="9994" max="9994" width="13.6640625" customWidth="1"/>
    <col min="10249" max="10249" width="1.5546875" customWidth="1"/>
    <col min="10250" max="10250" width="13.6640625" customWidth="1"/>
    <col min="10505" max="10505" width="1.5546875" customWidth="1"/>
    <col min="10506" max="10506" width="13.6640625" customWidth="1"/>
    <col min="10761" max="10761" width="1.5546875" customWidth="1"/>
    <col min="10762" max="10762" width="13.6640625" customWidth="1"/>
    <col min="11017" max="11017" width="1.5546875" customWidth="1"/>
    <col min="11018" max="11018" width="13.6640625" customWidth="1"/>
    <col min="11273" max="11273" width="1.5546875" customWidth="1"/>
    <col min="11274" max="11274" width="13.6640625" customWidth="1"/>
    <col min="11529" max="11529" width="1.5546875" customWidth="1"/>
    <col min="11530" max="11530" width="13.6640625" customWidth="1"/>
    <col min="11785" max="11785" width="1.5546875" customWidth="1"/>
    <col min="11786" max="11786" width="13.6640625" customWidth="1"/>
    <col min="12041" max="12041" width="1.5546875" customWidth="1"/>
    <col min="12042" max="12042" width="13.6640625" customWidth="1"/>
    <col min="12297" max="12297" width="1.5546875" customWidth="1"/>
    <col min="12298" max="12298" width="13.6640625" customWidth="1"/>
    <col min="12553" max="12553" width="1.5546875" customWidth="1"/>
    <col min="12554" max="12554" width="13.6640625" customWidth="1"/>
    <col min="12809" max="12809" width="1.5546875" customWidth="1"/>
    <col min="12810" max="12810" width="13.6640625" customWidth="1"/>
    <col min="13065" max="13065" width="1.5546875" customWidth="1"/>
    <col min="13066" max="13066" width="13.6640625" customWidth="1"/>
    <col min="13321" max="13321" width="1.5546875" customWidth="1"/>
    <col min="13322" max="13322" width="13.6640625" customWidth="1"/>
    <col min="13577" max="13577" width="1.5546875" customWidth="1"/>
    <col min="13578" max="13578" width="13.6640625" customWidth="1"/>
    <col min="13833" max="13833" width="1.5546875" customWidth="1"/>
    <col min="13834" max="13834" width="13.6640625" customWidth="1"/>
    <col min="14089" max="14089" width="1.5546875" customWidth="1"/>
    <col min="14090" max="14090" width="13.6640625" customWidth="1"/>
    <col min="14345" max="14345" width="1.5546875" customWidth="1"/>
    <col min="14346" max="14346" width="13.6640625" customWidth="1"/>
    <col min="14601" max="14601" width="1.5546875" customWidth="1"/>
    <col min="14602" max="14602" width="13.6640625" customWidth="1"/>
    <col min="14857" max="14857" width="1.5546875" customWidth="1"/>
    <col min="14858" max="14858" width="13.6640625" customWidth="1"/>
    <col min="15113" max="15113" width="1.5546875" customWidth="1"/>
    <col min="15114" max="15114" width="13.6640625" customWidth="1"/>
    <col min="15369" max="15369" width="1.5546875" customWidth="1"/>
    <col min="15370" max="15370" width="13.6640625" customWidth="1"/>
    <col min="15625" max="15625" width="1.5546875" customWidth="1"/>
    <col min="15626" max="15626" width="13.6640625" customWidth="1"/>
    <col min="15881" max="15881" width="1.5546875" customWidth="1"/>
    <col min="15882" max="15882" width="13.6640625" customWidth="1"/>
    <col min="16137" max="16137" width="1.5546875" customWidth="1"/>
    <col min="16138" max="16138" width="13.6640625" customWidth="1"/>
  </cols>
  <sheetData>
    <row r="1" spans="1:19" ht="16.2" x14ac:dyDescent="0.3">
      <c r="A1" s="670" t="s">
        <v>158</v>
      </c>
      <c r="B1" s="671"/>
      <c r="C1" s="671"/>
      <c r="D1" s="671"/>
      <c r="E1" s="671"/>
      <c r="F1" s="671"/>
      <c r="G1" s="671"/>
      <c r="H1" s="672"/>
      <c r="I1" s="4"/>
      <c r="J1" s="673" t="s">
        <v>159</v>
      </c>
      <c r="K1" s="674"/>
      <c r="L1" s="674"/>
      <c r="M1" s="674"/>
      <c r="N1" s="674"/>
      <c r="O1" s="674"/>
      <c r="P1" s="674"/>
      <c r="Q1" s="674"/>
      <c r="R1" s="674"/>
      <c r="S1" s="675"/>
    </row>
    <row r="2" spans="1:19" x14ac:dyDescent="0.3">
      <c r="A2" s="676" t="s">
        <v>160</v>
      </c>
      <c r="B2" s="676"/>
      <c r="C2" s="9" t="s">
        <v>161</v>
      </c>
      <c r="D2" s="9" t="s">
        <v>162</v>
      </c>
      <c r="E2" s="9" t="s">
        <v>163</v>
      </c>
      <c r="F2" s="9" t="s">
        <v>164</v>
      </c>
      <c r="G2" s="9" t="s">
        <v>165</v>
      </c>
      <c r="H2" s="9" t="s">
        <v>166</v>
      </c>
      <c r="I2" s="2"/>
      <c r="J2" s="10" t="s">
        <v>160</v>
      </c>
      <c r="K2" s="11" t="s">
        <v>167</v>
      </c>
      <c r="L2" s="12" t="s">
        <v>161</v>
      </c>
      <c r="M2" s="11" t="s">
        <v>162</v>
      </c>
      <c r="N2" s="11" t="s">
        <v>163</v>
      </c>
      <c r="O2" s="11" t="s">
        <v>164</v>
      </c>
      <c r="P2" s="11" t="s">
        <v>165</v>
      </c>
      <c r="Q2" s="11" t="s">
        <v>166</v>
      </c>
      <c r="R2" s="11" t="s">
        <v>168</v>
      </c>
      <c r="S2" s="11" t="s">
        <v>169</v>
      </c>
    </row>
    <row r="3" spans="1:19" ht="15.6" x14ac:dyDescent="0.3">
      <c r="A3" s="676" t="s">
        <v>170</v>
      </c>
      <c r="B3" s="676"/>
      <c r="C3" s="9">
        <v>18.670000000000002</v>
      </c>
      <c r="D3" s="9">
        <v>13.33</v>
      </c>
      <c r="E3" s="9">
        <v>10.98</v>
      </c>
      <c r="F3" s="9">
        <v>9.33</v>
      </c>
      <c r="G3" s="9">
        <v>8.11</v>
      </c>
      <c r="H3" s="9">
        <v>7.18</v>
      </c>
      <c r="I3" s="2"/>
      <c r="J3" s="13" t="s">
        <v>171</v>
      </c>
      <c r="K3" s="14" t="s">
        <v>172</v>
      </c>
      <c r="L3" s="11">
        <v>0.6</v>
      </c>
      <c r="M3" s="11">
        <v>0.8</v>
      </c>
      <c r="N3" s="11">
        <v>0.9</v>
      </c>
      <c r="O3" s="11">
        <v>1</v>
      </c>
      <c r="P3" s="11">
        <v>1.1000000000000001</v>
      </c>
      <c r="Q3" s="11">
        <v>1.2</v>
      </c>
      <c r="R3" s="11">
        <v>1.3</v>
      </c>
      <c r="S3" s="11">
        <v>1.4</v>
      </c>
    </row>
    <row r="4" spans="1:19" ht="15.6" x14ac:dyDescent="0.3">
      <c r="A4" s="677" t="s">
        <v>173</v>
      </c>
      <c r="B4" s="676"/>
      <c r="C4" s="9">
        <v>5</v>
      </c>
      <c r="D4" s="9">
        <v>7</v>
      </c>
      <c r="E4" s="9">
        <v>8.5</v>
      </c>
      <c r="F4" s="9">
        <v>10</v>
      </c>
      <c r="G4" s="9">
        <v>11.5</v>
      </c>
      <c r="H4" s="9">
        <v>13</v>
      </c>
      <c r="I4" s="2"/>
      <c r="J4" s="2"/>
      <c r="K4" s="2"/>
      <c r="L4" s="2"/>
      <c r="M4" s="2"/>
      <c r="N4" s="2"/>
      <c r="O4" s="2"/>
      <c r="P4" s="2"/>
      <c r="Q4" s="2"/>
      <c r="R4" s="2"/>
      <c r="S4" s="2"/>
    </row>
    <row r="5" spans="1:19" ht="15.6" x14ac:dyDescent="0.3">
      <c r="A5" s="676" t="s">
        <v>174</v>
      </c>
      <c r="B5" s="676"/>
      <c r="C5" s="9">
        <v>93.33</v>
      </c>
      <c r="D5" s="9">
        <v>93.33</v>
      </c>
      <c r="E5" s="9">
        <v>93.33</v>
      </c>
      <c r="F5" s="9">
        <v>93.33</v>
      </c>
      <c r="G5" s="9">
        <v>93.33</v>
      </c>
      <c r="H5" s="9">
        <v>93.33</v>
      </c>
      <c r="I5" s="2"/>
      <c r="J5" s="2"/>
      <c r="K5" s="2"/>
      <c r="L5" s="2"/>
      <c r="M5" s="2"/>
      <c r="N5" s="2"/>
      <c r="O5" s="2"/>
      <c r="P5" s="2"/>
      <c r="Q5" s="2"/>
      <c r="R5" s="2"/>
      <c r="S5" s="2"/>
    </row>
    <row r="6" spans="1:19" ht="15.6" x14ac:dyDescent="0.3">
      <c r="A6" s="658" t="s">
        <v>175</v>
      </c>
      <c r="B6" s="15" t="s">
        <v>176</v>
      </c>
      <c r="C6" s="9">
        <v>0.4</v>
      </c>
      <c r="D6" s="9">
        <v>0.4</v>
      </c>
      <c r="E6" s="9">
        <v>0.4</v>
      </c>
      <c r="F6" s="9">
        <v>0.4</v>
      </c>
      <c r="G6" s="9">
        <v>0.4</v>
      </c>
      <c r="H6" s="9">
        <v>0.4</v>
      </c>
      <c r="I6" s="2"/>
      <c r="J6" s="678" t="s">
        <v>177</v>
      </c>
      <c r="K6" s="678"/>
      <c r="L6" s="678"/>
      <c r="M6" s="678"/>
      <c r="N6" s="678"/>
      <c r="O6" s="678"/>
      <c r="P6" s="678"/>
      <c r="Q6" s="678"/>
      <c r="R6" s="678"/>
      <c r="S6" s="5"/>
    </row>
    <row r="7" spans="1:19" ht="15.6" x14ac:dyDescent="0.3">
      <c r="A7" s="659"/>
      <c r="B7" s="15" t="s">
        <v>178</v>
      </c>
      <c r="C7" s="9">
        <v>0.86699999999999999</v>
      </c>
      <c r="D7" s="9">
        <v>0.86699999999999999</v>
      </c>
      <c r="E7" s="9">
        <v>0.86699999999999999</v>
      </c>
      <c r="F7" s="9">
        <v>0.86699999999999999</v>
      </c>
      <c r="G7" s="9">
        <v>0.86699999999999999</v>
      </c>
      <c r="H7" s="9">
        <v>0.86699999999999999</v>
      </c>
      <c r="I7" s="2"/>
      <c r="J7" s="679"/>
      <c r="K7" s="679"/>
      <c r="L7" s="679"/>
      <c r="M7" s="679"/>
      <c r="N7" s="679"/>
      <c r="O7" s="679"/>
      <c r="P7" s="679"/>
      <c r="Q7" s="679"/>
      <c r="R7" s="679"/>
    </row>
    <row r="8" spans="1:19" ht="15.6" x14ac:dyDescent="0.3">
      <c r="A8" s="659"/>
      <c r="B8" s="15" t="s">
        <v>179</v>
      </c>
      <c r="C8" s="9">
        <v>0.86699999999999999</v>
      </c>
      <c r="D8" s="9">
        <v>1.214</v>
      </c>
      <c r="E8" s="9">
        <v>1.474</v>
      </c>
      <c r="F8" s="9">
        <v>1.734</v>
      </c>
      <c r="G8" s="9">
        <v>1.994</v>
      </c>
      <c r="H8" s="9">
        <v>2.254</v>
      </c>
      <c r="I8" s="2"/>
      <c r="J8" s="680" t="s">
        <v>160</v>
      </c>
      <c r="K8" s="669" t="s">
        <v>180</v>
      </c>
      <c r="L8" s="669"/>
      <c r="M8" s="669"/>
      <c r="N8" s="669"/>
      <c r="O8" s="669" t="s">
        <v>181</v>
      </c>
      <c r="P8" s="669"/>
      <c r="Q8" s="669"/>
      <c r="R8" s="669"/>
      <c r="S8" s="2"/>
    </row>
    <row r="9" spans="1:19" ht="15.6" x14ac:dyDescent="0.3">
      <c r="A9" s="660"/>
      <c r="B9" s="15" t="s">
        <v>182</v>
      </c>
      <c r="C9" s="9">
        <v>0.71399999999999997</v>
      </c>
      <c r="D9" s="9">
        <v>1</v>
      </c>
      <c r="E9" s="9">
        <v>1.214</v>
      </c>
      <c r="F9" s="9">
        <v>1.429</v>
      </c>
      <c r="G9" s="9">
        <v>1.643</v>
      </c>
      <c r="H9" s="9">
        <v>1.857</v>
      </c>
      <c r="I9" s="2"/>
      <c r="J9" s="681"/>
      <c r="K9" s="682" t="s">
        <v>183</v>
      </c>
      <c r="L9" s="669"/>
      <c r="M9" s="669" t="s">
        <v>184</v>
      </c>
      <c r="N9" s="669"/>
      <c r="O9" s="682" t="s">
        <v>183</v>
      </c>
      <c r="P9" s="669"/>
      <c r="Q9" s="669" t="s">
        <v>184</v>
      </c>
      <c r="R9" s="669"/>
      <c r="S9" s="2"/>
    </row>
    <row r="10" spans="1:19" ht="15.6" x14ac:dyDescent="0.3">
      <c r="A10" s="658" t="s">
        <v>185</v>
      </c>
      <c r="B10" s="15" t="s">
        <v>176</v>
      </c>
      <c r="C10" s="17">
        <v>0.32900000000000001</v>
      </c>
      <c r="D10" s="9">
        <v>0.32900000000000001</v>
      </c>
      <c r="E10" s="9">
        <v>0.32900000000000001</v>
      </c>
      <c r="F10" s="9">
        <v>0.32900000000000001</v>
      </c>
      <c r="G10" s="9">
        <v>0.32900000000000001</v>
      </c>
      <c r="H10" s="9">
        <v>0.32900000000000001</v>
      </c>
      <c r="I10" s="2"/>
      <c r="J10" s="16" t="s">
        <v>186</v>
      </c>
      <c r="K10" s="669">
        <v>0.6</v>
      </c>
      <c r="L10" s="669"/>
      <c r="M10" s="669">
        <v>58</v>
      </c>
      <c r="N10" s="669"/>
      <c r="O10" s="669">
        <v>0.96</v>
      </c>
      <c r="P10" s="669"/>
      <c r="Q10" s="669">
        <v>60</v>
      </c>
      <c r="R10" s="669"/>
      <c r="S10" s="2"/>
    </row>
    <row r="11" spans="1:19" ht="15.6" x14ac:dyDescent="0.3">
      <c r="A11" s="659"/>
      <c r="B11" s="15" t="s">
        <v>178</v>
      </c>
      <c r="C11" s="18">
        <v>0.89</v>
      </c>
      <c r="D11" s="9">
        <v>0.89</v>
      </c>
      <c r="E11" s="9">
        <v>0.89</v>
      </c>
      <c r="F11" s="9">
        <v>0.89</v>
      </c>
      <c r="G11" s="9">
        <v>0.89</v>
      </c>
      <c r="H11" s="9">
        <v>0.89</v>
      </c>
      <c r="I11" s="2"/>
      <c r="J11" s="16" t="s">
        <v>187</v>
      </c>
      <c r="K11" s="669">
        <v>0.8</v>
      </c>
      <c r="L11" s="669"/>
      <c r="M11" s="669">
        <v>44</v>
      </c>
      <c r="N11" s="669"/>
      <c r="O11" s="669">
        <v>1.28</v>
      </c>
      <c r="P11" s="669"/>
      <c r="Q11" s="669">
        <v>45</v>
      </c>
      <c r="R11" s="669"/>
      <c r="S11" s="2"/>
    </row>
    <row r="12" spans="1:19" ht="15.6" x14ac:dyDescent="0.3">
      <c r="A12" s="659"/>
      <c r="B12" s="15" t="s">
        <v>179</v>
      </c>
      <c r="C12" s="9">
        <v>0.73199999999999998</v>
      </c>
      <c r="D12" s="9">
        <v>1.0249999999999999</v>
      </c>
      <c r="E12" s="9">
        <v>1.244</v>
      </c>
      <c r="F12" s="9">
        <v>1.464</v>
      </c>
      <c r="G12" s="9">
        <v>1.6839999999999999</v>
      </c>
      <c r="H12" s="9">
        <v>1.903</v>
      </c>
      <c r="I12" s="2"/>
      <c r="J12" s="16" t="s">
        <v>188</v>
      </c>
      <c r="K12" s="669">
        <v>0.9</v>
      </c>
      <c r="L12" s="669"/>
      <c r="M12" s="669">
        <v>39</v>
      </c>
      <c r="N12" s="669"/>
      <c r="O12" s="669">
        <v>1.44</v>
      </c>
      <c r="P12" s="669"/>
      <c r="Q12" s="669">
        <v>40</v>
      </c>
      <c r="R12" s="669"/>
      <c r="S12" s="2"/>
    </row>
    <row r="13" spans="1:19" ht="15.6" x14ac:dyDescent="0.3">
      <c r="A13" s="660"/>
      <c r="B13" s="15" t="s">
        <v>182</v>
      </c>
      <c r="C13" s="9">
        <v>0.433</v>
      </c>
      <c r="D13" s="9">
        <v>0.60599999999999998</v>
      </c>
      <c r="E13" s="9">
        <v>0.73599999999999999</v>
      </c>
      <c r="F13" s="9">
        <v>0.86599999999999999</v>
      </c>
      <c r="G13" s="9">
        <v>0.997</v>
      </c>
      <c r="H13" s="9">
        <v>1.127</v>
      </c>
      <c r="I13" s="2"/>
      <c r="J13" s="16" t="s">
        <v>189</v>
      </c>
      <c r="K13" s="669">
        <v>1</v>
      </c>
      <c r="L13" s="669"/>
      <c r="M13" s="669">
        <v>35</v>
      </c>
      <c r="N13" s="669"/>
      <c r="O13" s="669">
        <v>1.6</v>
      </c>
      <c r="P13" s="669"/>
      <c r="Q13" s="669">
        <v>36</v>
      </c>
      <c r="R13" s="669"/>
      <c r="S13" s="2"/>
    </row>
    <row r="14" spans="1:19" ht="15.6" x14ac:dyDescent="0.3">
      <c r="A14" s="658" t="s">
        <v>190</v>
      </c>
      <c r="B14" s="15" t="s">
        <v>176</v>
      </c>
      <c r="C14" s="9">
        <v>0.28899999999999998</v>
      </c>
      <c r="D14" s="9">
        <v>0.28899999999999998</v>
      </c>
      <c r="E14" s="9">
        <v>0.28899999999999998</v>
      </c>
      <c r="F14" s="9">
        <v>0.28899999999999998</v>
      </c>
      <c r="G14" s="9">
        <v>0.28899999999999998</v>
      </c>
      <c r="H14" s="9">
        <v>0.28899999999999998</v>
      </c>
      <c r="I14" s="2"/>
      <c r="J14" s="16" t="s">
        <v>191</v>
      </c>
      <c r="K14" s="669">
        <v>1.1000000000000001</v>
      </c>
      <c r="L14" s="669"/>
      <c r="M14" s="669">
        <v>32</v>
      </c>
      <c r="N14" s="669"/>
      <c r="O14" s="669">
        <v>1.76</v>
      </c>
      <c r="P14" s="669"/>
      <c r="Q14" s="669">
        <v>33</v>
      </c>
      <c r="R14" s="669"/>
      <c r="S14" s="2"/>
    </row>
    <row r="15" spans="1:19" ht="15.6" x14ac:dyDescent="0.3">
      <c r="A15" s="659"/>
      <c r="B15" s="15" t="s">
        <v>178</v>
      </c>
      <c r="C15" s="9">
        <v>0.90400000000000003</v>
      </c>
      <c r="D15" s="9">
        <v>0.90400000000000003</v>
      </c>
      <c r="E15" s="9">
        <v>0.90400000000000003</v>
      </c>
      <c r="F15" s="9">
        <v>0.90400000000000003</v>
      </c>
      <c r="G15" s="9">
        <v>0.90400000000000003</v>
      </c>
      <c r="H15" s="9">
        <v>0.90400000000000003</v>
      </c>
      <c r="I15" s="2"/>
      <c r="J15" s="16" t="s">
        <v>192</v>
      </c>
      <c r="K15" s="669">
        <v>1.2</v>
      </c>
      <c r="L15" s="669"/>
      <c r="M15" s="669">
        <v>29</v>
      </c>
      <c r="N15" s="669"/>
      <c r="O15" s="669">
        <v>1.92</v>
      </c>
      <c r="P15" s="669"/>
      <c r="Q15" s="669">
        <v>30</v>
      </c>
      <c r="R15" s="669"/>
      <c r="S15" s="2"/>
    </row>
    <row r="16" spans="1:19" ht="15.6" x14ac:dyDescent="0.3">
      <c r="A16" s="659"/>
      <c r="B16" s="15" t="s">
        <v>179</v>
      </c>
      <c r="C16" s="9">
        <v>0.65300000000000002</v>
      </c>
      <c r="D16" s="9">
        <v>0.91400000000000003</v>
      </c>
      <c r="E16" s="9">
        <v>1.1100000000000001</v>
      </c>
      <c r="F16" s="9">
        <v>1.306</v>
      </c>
      <c r="G16" s="9">
        <v>1.502</v>
      </c>
      <c r="H16" s="9">
        <v>1.698</v>
      </c>
      <c r="I16" s="2"/>
      <c r="J16" s="16" t="s">
        <v>193</v>
      </c>
      <c r="K16" s="669">
        <v>1.3</v>
      </c>
      <c r="L16" s="669"/>
      <c r="M16" s="669">
        <v>27</v>
      </c>
      <c r="N16" s="669"/>
      <c r="O16" s="669">
        <v>2.08</v>
      </c>
      <c r="P16" s="669"/>
      <c r="Q16" s="669">
        <v>28</v>
      </c>
      <c r="R16" s="669"/>
      <c r="S16" s="2"/>
    </row>
    <row r="17" spans="1:19" ht="15.6" x14ac:dyDescent="0.3">
      <c r="A17" s="660"/>
      <c r="B17" s="15" t="s">
        <v>182</v>
      </c>
      <c r="C17" s="9">
        <v>0.314</v>
      </c>
      <c r="D17" s="9">
        <v>0.44</v>
      </c>
      <c r="E17" s="9">
        <v>0.53400000000000003</v>
      </c>
      <c r="F17" s="9">
        <v>0.628</v>
      </c>
      <c r="G17" s="9">
        <v>0.72199999999999998</v>
      </c>
      <c r="H17" s="9">
        <v>0.81599999999999995</v>
      </c>
      <c r="I17" s="2"/>
      <c r="J17" s="16" t="s">
        <v>194</v>
      </c>
      <c r="K17" s="669">
        <v>1.4</v>
      </c>
      <c r="L17" s="669"/>
      <c r="M17" s="669">
        <v>25</v>
      </c>
      <c r="N17" s="669"/>
      <c r="O17" s="669">
        <v>2.2400000000000002</v>
      </c>
      <c r="P17" s="669"/>
      <c r="Q17" s="669">
        <v>26</v>
      </c>
      <c r="R17" s="669"/>
      <c r="S17" s="2"/>
    </row>
    <row r="18" spans="1:19" ht="15.6" x14ac:dyDescent="0.3">
      <c r="A18" s="658" t="s">
        <v>195</v>
      </c>
      <c r="B18" s="15" t="s">
        <v>176</v>
      </c>
      <c r="C18" s="9">
        <v>0.253</v>
      </c>
      <c r="D18" s="9">
        <v>0.253</v>
      </c>
      <c r="E18" s="9">
        <v>0.253</v>
      </c>
      <c r="F18" s="9">
        <v>0.253</v>
      </c>
      <c r="G18" s="9">
        <v>0.253</v>
      </c>
      <c r="H18" s="9">
        <v>0.253</v>
      </c>
      <c r="I18" s="2"/>
      <c r="J18" s="2"/>
      <c r="K18" s="661"/>
      <c r="L18" s="661"/>
      <c r="M18" s="2"/>
      <c r="N18" s="2"/>
      <c r="O18" s="2"/>
      <c r="P18" s="2"/>
      <c r="Q18" s="2"/>
      <c r="R18" s="2"/>
      <c r="S18" s="2"/>
    </row>
    <row r="19" spans="1:19" ht="15.6" x14ac:dyDescent="0.3">
      <c r="A19" s="659"/>
      <c r="B19" s="15" t="s">
        <v>178</v>
      </c>
      <c r="C19" s="9">
        <v>0.91600000000000004</v>
      </c>
      <c r="D19" s="9">
        <v>0.91600000000000004</v>
      </c>
      <c r="E19" s="9">
        <v>0.91600000000000004</v>
      </c>
      <c r="F19" s="9">
        <v>0.91400000000000003</v>
      </c>
      <c r="G19" s="9">
        <v>0.91600000000000004</v>
      </c>
      <c r="H19" s="9">
        <v>0.91600000000000004</v>
      </c>
      <c r="I19" s="2"/>
      <c r="J19" s="2"/>
      <c r="K19" s="2"/>
      <c r="L19" s="2"/>
      <c r="M19" s="2"/>
      <c r="N19" s="2"/>
      <c r="O19" s="2"/>
      <c r="P19" s="2"/>
      <c r="Q19" s="2"/>
      <c r="R19" s="2"/>
      <c r="S19" s="2"/>
    </row>
    <row r="20" spans="1:19" ht="15.6" x14ac:dyDescent="0.3">
      <c r="A20" s="659"/>
      <c r="B20" s="15" t="s">
        <v>179</v>
      </c>
      <c r="C20" s="9">
        <v>0.57899999999999996</v>
      </c>
      <c r="D20" s="9">
        <v>0.81100000000000005</v>
      </c>
      <c r="E20" s="9">
        <v>0.98499999999999999</v>
      </c>
      <c r="F20" s="9">
        <v>1.159</v>
      </c>
      <c r="G20" s="9">
        <v>1.3320000000000001</v>
      </c>
      <c r="H20" s="9">
        <v>1.506</v>
      </c>
      <c r="I20" s="2"/>
      <c r="J20" s="2"/>
      <c r="K20" s="2"/>
      <c r="L20" s="2"/>
      <c r="M20" s="2"/>
      <c r="N20" s="2"/>
      <c r="O20" s="2"/>
      <c r="P20" s="2"/>
      <c r="Q20" s="2"/>
      <c r="R20" s="2"/>
      <c r="S20" s="2"/>
    </row>
    <row r="21" spans="1:19" ht="15.6" x14ac:dyDescent="0.3">
      <c r="A21" s="660"/>
      <c r="B21" s="15" t="s">
        <v>182</v>
      </c>
      <c r="C21" s="9">
        <v>0.23</v>
      </c>
      <c r="D21" s="9">
        <v>0.32200000000000001</v>
      </c>
      <c r="E21" s="9">
        <v>0.39100000000000001</v>
      </c>
      <c r="F21" s="9">
        <v>0.46</v>
      </c>
      <c r="G21" s="9">
        <v>0.53</v>
      </c>
      <c r="H21" s="9">
        <v>0.59899999999999998</v>
      </c>
      <c r="I21" s="2"/>
      <c r="J21" s="2"/>
      <c r="K21" s="2"/>
      <c r="L21" s="2"/>
      <c r="M21" s="2"/>
      <c r="N21" s="2"/>
      <c r="O21" s="2"/>
      <c r="P21" s="2"/>
      <c r="Q21" s="2"/>
      <c r="R21" s="2"/>
      <c r="S21" s="2"/>
    </row>
    <row r="22" spans="1:19" x14ac:dyDescent="0.3">
      <c r="J22" s="2"/>
      <c r="K22" s="2"/>
      <c r="L22" s="2"/>
      <c r="M22" s="2"/>
      <c r="N22" s="2"/>
      <c r="O22" s="2"/>
      <c r="P22" s="2"/>
      <c r="Q22" s="2"/>
      <c r="R22" s="2"/>
      <c r="S22" s="2"/>
    </row>
    <row r="23" spans="1:19" ht="16.2" x14ac:dyDescent="0.3">
      <c r="A23" s="662" t="s">
        <v>196</v>
      </c>
      <c r="B23" s="662"/>
      <c r="C23" s="662"/>
      <c r="D23" s="662"/>
      <c r="E23" s="662"/>
      <c r="F23" s="662"/>
      <c r="G23" s="662"/>
      <c r="H23" s="662"/>
      <c r="I23" s="4"/>
      <c r="J23" s="2"/>
      <c r="K23" s="2"/>
      <c r="L23" s="2"/>
      <c r="M23" s="2"/>
      <c r="N23" s="2"/>
      <c r="O23" s="2"/>
      <c r="P23" s="2"/>
      <c r="Q23" s="2"/>
      <c r="R23" s="2"/>
      <c r="S23" s="2"/>
    </row>
    <row r="24" spans="1:19" ht="15.6" x14ac:dyDescent="0.3">
      <c r="A24" s="663" t="s">
        <v>197</v>
      </c>
      <c r="B24" s="664"/>
      <c r="C24" s="665" t="s">
        <v>198</v>
      </c>
      <c r="D24" s="665"/>
      <c r="E24" s="665"/>
      <c r="F24" s="665"/>
      <c r="G24" s="665"/>
      <c r="H24" s="665"/>
      <c r="I24" s="2"/>
      <c r="J24" s="666" t="s">
        <v>199</v>
      </c>
      <c r="K24" s="667"/>
      <c r="L24" s="667"/>
      <c r="M24" s="667"/>
      <c r="N24" s="667"/>
      <c r="O24" s="667"/>
      <c r="P24" s="667"/>
      <c r="Q24" s="667"/>
      <c r="R24" s="668"/>
      <c r="S24" s="2"/>
    </row>
    <row r="25" spans="1:19" ht="15.6" x14ac:dyDescent="0.3">
      <c r="A25" s="639" t="s">
        <v>200</v>
      </c>
      <c r="B25" s="640"/>
      <c r="C25" s="20" t="s">
        <v>161</v>
      </c>
      <c r="D25" s="19" t="s">
        <v>162</v>
      </c>
      <c r="E25" s="19" t="s">
        <v>163</v>
      </c>
      <c r="F25" s="19" t="s">
        <v>164</v>
      </c>
      <c r="G25" s="19" t="s">
        <v>165</v>
      </c>
      <c r="H25" s="19" t="s">
        <v>166</v>
      </c>
      <c r="I25" s="2"/>
      <c r="J25" s="641" t="s">
        <v>160</v>
      </c>
      <c r="K25" s="644" t="s">
        <v>201</v>
      </c>
      <c r="L25" s="645"/>
      <c r="M25" s="645"/>
      <c r="N25" s="645"/>
      <c r="O25" s="646" t="s">
        <v>202</v>
      </c>
      <c r="P25" s="647"/>
      <c r="Q25" s="647"/>
      <c r="R25" s="648"/>
      <c r="S25" s="2"/>
    </row>
    <row r="26" spans="1:19" ht="15.6" x14ac:dyDescent="0.3">
      <c r="A26" s="652" t="s">
        <v>203</v>
      </c>
      <c r="B26" s="652"/>
      <c r="C26" s="19">
        <v>0.18</v>
      </c>
      <c r="D26" s="19">
        <v>0.18</v>
      </c>
      <c r="E26" s="19">
        <v>0.19</v>
      </c>
      <c r="F26" s="19">
        <v>0.2</v>
      </c>
      <c r="G26" s="19">
        <v>0.2</v>
      </c>
      <c r="H26" s="19">
        <v>0.2</v>
      </c>
      <c r="I26" s="2"/>
      <c r="J26" s="642"/>
      <c r="K26" s="653" t="s">
        <v>204</v>
      </c>
      <c r="L26" s="654"/>
      <c r="M26" s="655" t="s">
        <v>205</v>
      </c>
      <c r="N26" s="644"/>
      <c r="O26" s="649"/>
      <c r="P26" s="650"/>
      <c r="Q26" s="650"/>
      <c r="R26" s="651"/>
      <c r="S26" s="2"/>
    </row>
    <row r="27" spans="1:19" ht="16.2" x14ac:dyDescent="0.3">
      <c r="A27" s="628">
        <v>0.25</v>
      </c>
      <c r="B27" s="628"/>
      <c r="C27" s="22">
        <v>0.22</v>
      </c>
      <c r="D27" s="22">
        <v>0.22</v>
      </c>
      <c r="E27" s="22">
        <v>0.23</v>
      </c>
      <c r="F27" s="22">
        <v>0.23</v>
      </c>
      <c r="G27" s="22">
        <v>0.23</v>
      </c>
      <c r="H27" s="22">
        <v>0.23</v>
      </c>
      <c r="I27" s="23"/>
      <c r="J27" s="643"/>
      <c r="K27" s="24" t="s">
        <v>206</v>
      </c>
      <c r="L27" s="21" t="s">
        <v>207</v>
      </c>
      <c r="M27" s="24" t="s">
        <v>206</v>
      </c>
      <c r="N27" s="21" t="s">
        <v>207</v>
      </c>
      <c r="O27" s="656" t="s">
        <v>206</v>
      </c>
      <c r="P27" s="657"/>
      <c r="Q27" s="656" t="s">
        <v>208</v>
      </c>
      <c r="R27" s="657"/>
      <c r="S27" s="2"/>
    </row>
    <row r="28" spans="1:19" x14ac:dyDescent="0.3">
      <c r="A28" s="628">
        <v>0.5</v>
      </c>
      <c r="B28" s="628"/>
      <c r="C28" s="22">
        <v>0.28999999999999998</v>
      </c>
      <c r="D28" s="22">
        <v>0.3</v>
      </c>
      <c r="E28" s="22">
        <v>0.31</v>
      </c>
      <c r="F28" s="22">
        <v>0.31</v>
      </c>
      <c r="G28" s="22">
        <v>0.31</v>
      </c>
      <c r="H28" s="22">
        <v>0.32</v>
      </c>
      <c r="I28" s="23"/>
      <c r="J28" s="21" t="s">
        <v>209</v>
      </c>
      <c r="K28" s="25">
        <v>3</v>
      </c>
      <c r="L28" s="26">
        <f>K28*100</f>
        <v>300</v>
      </c>
      <c r="M28" s="27">
        <v>2.5</v>
      </c>
      <c r="N28" s="26">
        <f>M28*100</f>
        <v>250</v>
      </c>
      <c r="O28" s="637" t="s">
        <v>172</v>
      </c>
      <c r="P28" s="638"/>
      <c r="Q28" s="637" t="s">
        <v>172</v>
      </c>
      <c r="R28" s="638"/>
      <c r="S28" s="2"/>
    </row>
    <row r="29" spans="1:19" x14ac:dyDescent="0.3">
      <c r="A29" s="628">
        <v>0.75</v>
      </c>
      <c r="B29" s="628"/>
      <c r="C29" s="22">
        <v>0.34</v>
      </c>
      <c r="D29" s="22">
        <v>0.35</v>
      </c>
      <c r="E29" s="22">
        <v>0.36</v>
      </c>
      <c r="F29" s="22">
        <v>0.37</v>
      </c>
      <c r="G29" s="22">
        <v>0.37</v>
      </c>
      <c r="H29" s="22">
        <v>0.38</v>
      </c>
      <c r="I29" s="23"/>
      <c r="J29" s="21" t="s">
        <v>210</v>
      </c>
      <c r="K29" s="25">
        <v>5</v>
      </c>
      <c r="L29" s="26">
        <f t="shared" ref="L29:L36" si="0">K29*100</f>
        <v>500</v>
      </c>
      <c r="M29" s="27">
        <v>4</v>
      </c>
      <c r="N29" s="26">
        <f t="shared" ref="N29:N36" si="1">M29*100</f>
        <v>400</v>
      </c>
      <c r="O29" s="635">
        <v>0.6</v>
      </c>
      <c r="P29" s="636"/>
      <c r="Q29" s="631">
        <f>O29*100</f>
        <v>60</v>
      </c>
      <c r="R29" s="632"/>
      <c r="S29" s="2"/>
    </row>
    <row r="30" spans="1:19" x14ac:dyDescent="0.3">
      <c r="A30" s="628">
        <v>1</v>
      </c>
      <c r="B30" s="628"/>
      <c r="C30" s="22">
        <v>0.37</v>
      </c>
      <c r="D30" s="22">
        <v>0.39</v>
      </c>
      <c r="E30" s="22">
        <v>0.4</v>
      </c>
      <c r="F30" s="22">
        <v>0.41</v>
      </c>
      <c r="G30" s="22">
        <v>0.42</v>
      </c>
      <c r="H30" s="22">
        <v>0.42</v>
      </c>
      <c r="I30" s="23"/>
      <c r="J30" s="21" t="s">
        <v>211</v>
      </c>
      <c r="K30" s="25">
        <v>7</v>
      </c>
      <c r="L30" s="26">
        <f t="shared" si="0"/>
        <v>700</v>
      </c>
      <c r="M30" s="27">
        <v>5</v>
      </c>
      <c r="N30" s="26">
        <f t="shared" si="1"/>
        <v>500</v>
      </c>
      <c r="O30" s="635">
        <v>0.8</v>
      </c>
      <c r="P30" s="636"/>
      <c r="Q30" s="631">
        <f t="shared" ref="Q30:Q36" si="2">O30*100</f>
        <v>80</v>
      </c>
      <c r="R30" s="632"/>
      <c r="S30" s="2"/>
    </row>
    <row r="31" spans="1:19" x14ac:dyDescent="0.3">
      <c r="A31" s="628">
        <v>1.25</v>
      </c>
      <c r="B31" s="628"/>
      <c r="C31" s="22">
        <v>0.4</v>
      </c>
      <c r="D31" s="22">
        <v>0.42</v>
      </c>
      <c r="E31" s="22">
        <v>0.44</v>
      </c>
      <c r="F31" s="22">
        <v>0.45</v>
      </c>
      <c r="G31" s="22">
        <v>0.45</v>
      </c>
      <c r="H31" s="22">
        <v>0.46</v>
      </c>
      <c r="I31" s="23"/>
      <c r="J31" s="21" t="s">
        <v>212</v>
      </c>
      <c r="K31" s="25">
        <v>8.5</v>
      </c>
      <c r="L31" s="26">
        <f t="shared" si="0"/>
        <v>850</v>
      </c>
      <c r="M31" s="27">
        <v>6</v>
      </c>
      <c r="N31" s="26">
        <f t="shared" si="1"/>
        <v>600</v>
      </c>
      <c r="O31" s="635">
        <v>0.9</v>
      </c>
      <c r="P31" s="636"/>
      <c r="Q31" s="631">
        <f t="shared" si="2"/>
        <v>90</v>
      </c>
      <c r="R31" s="632"/>
      <c r="S31" s="1"/>
    </row>
    <row r="32" spans="1:19" x14ac:dyDescent="0.3">
      <c r="A32" s="628">
        <v>1.5</v>
      </c>
      <c r="B32" s="628"/>
      <c r="C32" s="22">
        <v>0.42</v>
      </c>
      <c r="D32" s="22">
        <v>0.45</v>
      </c>
      <c r="E32" s="22">
        <v>0.46</v>
      </c>
      <c r="F32" s="22">
        <v>0.48</v>
      </c>
      <c r="G32" s="22">
        <v>0.49</v>
      </c>
      <c r="H32" s="22">
        <v>0.49</v>
      </c>
      <c r="I32" s="23"/>
      <c r="J32" s="21" t="s">
        <v>213</v>
      </c>
      <c r="K32" s="25">
        <v>10</v>
      </c>
      <c r="L32" s="26">
        <f t="shared" si="0"/>
        <v>1000</v>
      </c>
      <c r="M32" s="27">
        <v>8</v>
      </c>
      <c r="N32" s="26">
        <f t="shared" si="1"/>
        <v>800</v>
      </c>
      <c r="O32" s="635">
        <v>1</v>
      </c>
      <c r="P32" s="636"/>
      <c r="Q32" s="631">
        <f t="shared" si="2"/>
        <v>100</v>
      </c>
      <c r="R32" s="632"/>
      <c r="S32" s="1"/>
    </row>
    <row r="33" spans="1:19" x14ac:dyDescent="0.3">
      <c r="A33" s="628">
        <v>1.75</v>
      </c>
      <c r="B33" s="628"/>
      <c r="C33" s="22">
        <v>0.44</v>
      </c>
      <c r="D33" s="22">
        <v>0.47</v>
      </c>
      <c r="E33" s="22">
        <v>0.49</v>
      </c>
      <c r="F33" s="22">
        <v>0.5</v>
      </c>
      <c r="G33" s="22">
        <v>0.52</v>
      </c>
      <c r="H33" s="22">
        <v>0.52</v>
      </c>
      <c r="I33" s="23"/>
      <c r="J33" s="21" t="s">
        <v>214</v>
      </c>
      <c r="K33" s="25">
        <v>11.5</v>
      </c>
      <c r="L33" s="26">
        <f t="shared" si="0"/>
        <v>1150</v>
      </c>
      <c r="M33" s="27">
        <v>9</v>
      </c>
      <c r="N33" s="26">
        <f t="shared" si="1"/>
        <v>900</v>
      </c>
      <c r="O33" s="635">
        <v>1.1000000000000001</v>
      </c>
      <c r="P33" s="636"/>
      <c r="Q33" s="631">
        <f t="shared" si="2"/>
        <v>110.00000000000001</v>
      </c>
      <c r="R33" s="632"/>
      <c r="S33" s="1"/>
    </row>
    <row r="34" spans="1:19" x14ac:dyDescent="0.3">
      <c r="A34" s="628">
        <v>2</v>
      </c>
      <c r="B34" s="628"/>
      <c r="C34" s="22">
        <v>0.44</v>
      </c>
      <c r="D34" s="22">
        <v>0.49</v>
      </c>
      <c r="E34" s="22">
        <v>0.51</v>
      </c>
      <c r="F34" s="22">
        <v>0.53</v>
      </c>
      <c r="G34" s="22">
        <v>0.54</v>
      </c>
      <c r="H34" s="22">
        <v>0.55000000000000004</v>
      </c>
      <c r="I34" s="23"/>
      <c r="J34" s="21" t="s">
        <v>215</v>
      </c>
      <c r="K34" s="25">
        <v>13</v>
      </c>
      <c r="L34" s="26">
        <f t="shared" si="0"/>
        <v>1300</v>
      </c>
      <c r="M34" s="27">
        <v>10</v>
      </c>
      <c r="N34" s="26">
        <f t="shared" si="1"/>
        <v>1000</v>
      </c>
      <c r="O34" s="635">
        <v>1.2</v>
      </c>
      <c r="P34" s="636"/>
      <c r="Q34" s="631">
        <f t="shared" si="2"/>
        <v>120</v>
      </c>
      <c r="R34" s="632"/>
      <c r="S34" s="1"/>
    </row>
    <row r="35" spans="1:19" x14ac:dyDescent="0.3">
      <c r="A35" s="628">
        <v>2.25</v>
      </c>
      <c r="B35" s="628"/>
      <c r="C35" s="22">
        <v>0.44</v>
      </c>
      <c r="D35" s="22">
        <v>0.51</v>
      </c>
      <c r="E35" s="22">
        <v>0.53</v>
      </c>
      <c r="F35" s="22">
        <v>0.55000000000000004</v>
      </c>
      <c r="G35" s="22">
        <v>0.56000000000000005</v>
      </c>
      <c r="H35" s="28">
        <v>0.56999999999999995</v>
      </c>
      <c r="I35" s="23"/>
      <c r="J35" s="21" t="s">
        <v>216</v>
      </c>
      <c r="K35" s="25">
        <v>14.5</v>
      </c>
      <c r="L35" s="26">
        <f t="shared" si="0"/>
        <v>1450</v>
      </c>
      <c r="M35" s="27">
        <v>11</v>
      </c>
      <c r="N35" s="26">
        <f t="shared" si="1"/>
        <v>1100</v>
      </c>
      <c r="O35" s="635">
        <v>1.3</v>
      </c>
      <c r="P35" s="636"/>
      <c r="Q35" s="631">
        <f t="shared" si="2"/>
        <v>130</v>
      </c>
      <c r="R35" s="632"/>
      <c r="S35" s="1"/>
    </row>
    <row r="36" spans="1:19" x14ac:dyDescent="0.3">
      <c r="A36" s="628">
        <v>2.5</v>
      </c>
      <c r="B36" s="628"/>
      <c r="C36" s="22">
        <v>0.44</v>
      </c>
      <c r="D36" s="22">
        <v>0.51</v>
      </c>
      <c r="E36" s="22">
        <v>0.55000000000000004</v>
      </c>
      <c r="F36" s="22">
        <v>0.56999999999999995</v>
      </c>
      <c r="G36" s="22">
        <v>0.57999999999999996</v>
      </c>
      <c r="H36" s="22">
        <v>0.6</v>
      </c>
      <c r="I36" s="23"/>
      <c r="J36" s="21" t="s">
        <v>217</v>
      </c>
      <c r="K36" s="29">
        <v>16</v>
      </c>
      <c r="L36" s="26">
        <f t="shared" si="0"/>
        <v>1600</v>
      </c>
      <c r="M36" s="30">
        <v>12</v>
      </c>
      <c r="N36" s="26">
        <f t="shared" si="1"/>
        <v>1200</v>
      </c>
      <c r="O36" s="629">
        <v>1.4</v>
      </c>
      <c r="P36" s="630"/>
      <c r="Q36" s="631">
        <f t="shared" si="2"/>
        <v>140</v>
      </c>
      <c r="R36" s="632"/>
      <c r="S36" s="1"/>
    </row>
    <row r="37" spans="1:19" x14ac:dyDescent="0.3">
      <c r="A37" s="628">
        <v>2.75</v>
      </c>
      <c r="B37" s="628"/>
      <c r="C37" s="22">
        <v>0.44</v>
      </c>
      <c r="D37" s="22">
        <v>0.51</v>
      </c>
      <c r="E37" s="22">
        <v>0.56000000000000005</v>
      </c>
      <c r="F37" s="22">
        <v>0.57999999999999996</v>
      </c>
      <c r="G37" s="22">
        <v>0.6</v>
      </c>
      <c r="H37" s="22">
        <v>0.62</v>
      </c>
      <c r="I37" s="23"/>
      <c r="J37" s="1"/>
      <c r="K37" s="1"/>
      <c r="L37" s="1"/>
      <c r="M37" s="1"/>
      <c r="N37" s="1"/>
      <c r="O37" s="1"/>
      <c r="P37" s="1"/>
      <c r="Q37" s="1"/>
      <c r="R37" s="1"/>
      <c r="S37" s="1"/>
    </row>
    <row r="38" spans="1:19" x14ac:dyDescent="0.3">
      <c r="A38" s="633" t="s">
        <v>218</v>
      </c>
      <c r="B38" s="633"/>
      <c r="C38" s="19">
        <v>0.44</v>
      </c>
      <c r="D38" s="19">
        <v>0.51</v>
      </c>
      <c r="E38" s="19">
        <v>0.56999999999999995</v>
      </c>
      <c r="F38" s="19">
        <v>0.6</v>
      </c>
      <c r="G38" s="31">
        <v>0.62</v>
      </c>
      <c r="H38" s="19">
        <v>0.63</v>
      </c>
      <c r="I38" s="2"/>
      <c r="J38" s="1"/>
      <c r="K38" s="1"/>
      <c r="L38" s="1"/>
      <c r="M38" s="1"/>
      <c r="N38" s="1"/>
      <c r="O38" s="1"/>
      <c r="P38" s="1"/>
      <c r="Q38" s="1"/>
      <c r="R38" s="1"/>
      <c r="S38" s="1"/>
    </row>
    <row r="39" spans="1:19" x14ac:dyDescent="0.3">
      <c r="B39" s="2"/>
      <c r="C39" s="2"/>
      <c r="D39" s="2"/>
      <c r="E39" s="2"/>
      <c r="F39" s="2"/>
      <c r="G39" s="3"/>
      <c r="H39" s="3"/>
      <c r="I39" s="2"/>
      <c r="J39" s="1"/>
      <c r="K39" s="1"/>
      <c r="L39" s="1"/>
      <c r="M39" s="1"/>
      <c r="N39" s="1"/>
      <c r="O39" s="1"/>
      <c r="P39" s="1"/>
      <c r="Q39" s="1"/>
      <c r="R39" s="1"/>
      <c r="S39" s="1"/>
    </row>
    <row r="40" spans="1:19" ht="16.2" x14ac:dyDescent="0.3">
      <c r="A40" s="634" t="s">
        <v>219</v>
      </c>
      <c r="B40" s="634"/>
      <c r="C40" s="634"/>
      <c r="D40" s="634"/>
      <c r="E40" s="634"/>
      <c r="F40" s="634"/>
      <c r="G40" s="634"/>
      <c r="H40" s="634"/>
      <c r="I40" s="4"/>
      <c r="J40" s="634" t="s">
        <v>220</v>
      </c>
      <c r="K40" s="634"/>
      <c r="L40" s="634"/>
      <c r="M40" s="634"/>
      <c r="N40" s="634"/>
      <c r="O40" s="634"/>
      <c r="P40" s="634"/>
      <c r="Q40" s="634"/>
      <c r="R40" s="634"/>
      <c r="S40" s="1"/>
    </row>
    <row r="41" spans="1:19" x14ac:dyDescent="0.3">
      <c r="A41" s="32"/>
      <c r="B41" s="32"/>
      <c r="C41" s="32"/>
      <c r="D41" s="32"/>
      <c r="E41" s="32"/>
      <c r="F41" s="32"/>
      <c r="G41" s="32"/>
      <c r="H41" s="32"/>
      <c r="I41" s="4"/>
      <c r="J41" s="634"/>
      <c r="K41" s="634"/>
      <c r="L41" s="634"/>
      <c r="M41" s="634"/>
      <c r="N41" s="634"/>
      <c r="O41" s="634"/>
      <c r="P41" s="634"/>
      <c r="Q41" s="634"/>
      <c r="R41" s="634"/>
      <c r="S41" s="1"/>
    </row>
    <row r="42" spans="1:19" x14ac:dyDescent="0.3">
      <c r="A42" s="620" t="s">
        <v>160</v>
      </c>
      <c r="B42" s="621"/>
      <c r="C42" s="33" t="s">
        <v>161</v>
      </c>
      <c r="D42" s="34" t="s">
        <v>162</v>
      </c>
      <c r="E42" s="34" t="s">
        <v>163</v>
      </c>
      <c r="F42" s="34" t="s">
        <v>164</v>
      </c>
      <c r="G42" s="34" t="s">
        <v>165</v>
      </c>
      <c r="H42" s="34" t="s">
        <v>166</v>
      </c>
      <c r="I42" s="2"/>
      <c r="J42" s="620" t="s">
        <v>160</v>
      </c>
      <c r="K42" s="621"/>
      <c r="L42" s="34" t="s">
        <v>167</v>
      </c>
      <c r="M42" s="33" t="s">
        <v>161</v>
      </c>
      <c r="N42" s="34" t="s">
        <v>162</v>
      </c>
      <c r="O42" s="34" t="s">
        <v>163</v>
      </c>
      <c r="P42" s="34" t="s">
        <v>164</v>
      </c>
      <c r="Q42" s="34" t="s">
        <v>165</v>
      </c>
      <c r="R42" s="34" t="s">
        <v>166</v>
      </c>
      <c r="S42" s="1"/>
    </row>
    <row r="43" spans="1:19" ht="15.6" x14ac:dyDescent="0.35">
      <c r="A43" s="622" t="s">
        <v>221</v>
      </c>
      <c r="B43" s="623"/>
      <c r="C43" s="34">
        <v>1.6</v>
      </c>
      <c r="D43" s="34">
        <v>1.8</v>
      </c>
      <c r="E43" s="34">
        <v>1.9</v>
      </c>
      <c r="F43" s="34">
        <v>2.2000000000000002</v>
      </c>
      <c r="G43" s="34">
        <v>2.2999999999999998</v>
      </c>
      <c r="H43" s="34">
        <v>2.5</v>
      </c>
      <c r="I43" s="2"/>
      <c r="J43" s="622" t="s">
        <v>222</v>
      </c>
      <c r="K43" s="623"/>
      <c r="L43" s="35">
        <v>1.2</v>
      </c>
      <c r="M43" s="36">
        <v>2</v>
      </c>
      <c r="N43" s="35">
        <v>2.8</v>
      </c>
      <c r="O43" s="35">
        <v>3.2</v>
      </c>
      <c r="P43" s="35">
        <v>3.6</v>
      </c>
      <c r="Q43" s="35">
        <v>4</v>
      </c>
      <c r="R43" s="35">
        <v>4.4000000000000004</v>
      </c>
      <c r="S43" s="1"/>
    </row>
    <row r="47" spans="1:19" ht="15.6" x14ac:dyDescent="0.35">
      <c r="A47" s="624" t="s">
        <v>223</v>
      </c>
      <c r="B47" s="625"/>
      <c r="C47" s="626" t="s">
        <v>224</v>
      </c>
      <c r="D47" s="627"/>
    </row>
    <row r="48" spans="1:19" ht="15.6" x14ac:dyDescent="0.3">
      <c r="A48" s="37" t="s">
        <v>225</v>
      </c>
      <c r="B48" s="616" t="s">
        <v>162</v>
      </c>
      <c r="C48" s="616" t="s">
        <v>162</v>
      </c>
      <c r="D48" s="38" t="s">
        <v>225</v>
      </c>
      <c r="J48" s="618" t="s">
        <v>226</v>
      </c>
      <c r="K48" s="619"/>
      <c r="L48" s="619"/>
      <c r="M48" s="619"/>
      <c r="N48" s="619"/>
      <c r="O48" s="619"/>
    </row>
    <row r="49" spans="1:15" x14ac:dyDescent="0.3">
      <c r="A49" s="39" t="s">
        <v>200</v>
      </c>
      <c r="B49" s="617"/>
      <c r="C49" s="617"/>
      <c r="D49" s="40" t="s">
        <v>200</v>
      </c>
      <c r="J49" s="41" t="s">
        <v>227</v>
      </c>
      <c r="K49" s="42" t="s">
        <v>228</v>
      </c>
      <c r="L49" s="41" t="s">
        <v>227</v>
      </c>
      <c r="M49" s="43" t="s">
        <v>229</v>
      </c>
      <c r="N49" s="44" t="s">
        <v>230</v>
      </c>
      <c r="O49" s="44" t="s">
        <v>231</v>
      </c>
    </row>
    <row r="50" spans="1:15" x14ac:dyDescent="0.3">
      <c r="A50" s="45">
        <v>0.15</v>
      </c>
      <c r="B50" s="46">
        <v>0.18</v>
      </c>
      <c r="C50" s="46">
        <v>0.18</v>
      </c>
      <c r="D50" s="47">
        <v>0.15</v>
      </c>
      <c r="J50" s="41">
        <v>1</v>
      </c>
      <c r="K50" s="48">
        <v>1.745E-2</v>
      </c>
      <c r="L50" s="41">
        <v>1</v>
      </c>
      <c r="M50" s="49">
        <v>0.99980000000000002</v>
      </c>
      <c r="N50" s="50">
        <f>K50/M50</f>
        <v>1.7453490698139628E-2</v>
      </c>
      <c r="O50" s="50">
        <f>M50/K50</f>
        <v>57.295128939828082</v>
      </c>
    </row>
    <row r="51" spans="1:15" x14ac:dyDescent="0.3">
      <c r="A51" s="51">
        <v>0.16</v>
      </c>
      <c r="B51" s="9">
        <v>0.18</v>
      </c>
      <c r="C51" s="9">
        <v>0.19</v>
      </c>
      <c r="D51" s="52">
        <v>0.18</v>
      </c>
      <c r="J51" s="41">
        <v>1.5</v>
      </c>
      <c r="K51" s="48">
        <v>2.5999999999999999E-2</v>
      </c>
      <c r="L51" s="41">
        <v>1.5</v>
      </c>
      <c r="M51" s="49">
        <v>0.99960000000000004</v>
      </c>
      <c r="N51" s="50">
        <v>0.26179999999999998</v>
      </c>
      <c r="O51" s="50">
        <v>56.3</v>
      </c>
    </row>
    <row r="52" spans="1:15" x14ac:dyDescent="0.3">
      <c r="A52" s="51">
        <v>0.17</v>
      </c>
      <c r="B52" s="9">
        <v>0.18</v>
      </c>
      <c r="C52" s="9">
        <v>0.2</v>
      </c>
      <c r="D52" s="52">
        <v>0.21</v>
      </c>
      <c r="J52" s="41">
        <v>2</v>
      </c>
      <c r="K52" s="48">
        <v>3.4889999999999997E-2</v>
      </c>
      <c r="L52" s="41">
        <v>2</v>
      </c>
      <c r="M52" s="49">
        <v>0.99939</v>
      </c>
      <c r="N52" s="50">
        <f t="shared" ref="N52:N115" si="3">K52/M52</f>
        <v>3.4911295890493195E-2</v>
      </c>
      <c r="O52" s="50">
        <f t="shared" ref="O52:O115" si="4">M52/K52</f>
        <v>28.644024075666383</v>
      </c>
    </row>
    <row r="53" spans="1:15" x14ac:dyDescent="0.3">
      <c r="A53" s="51">
        <v>0.18</v>
      </c>
      <c r="B53" s="9">
        <v>0.19</v>
      </c>
      <c r="C53" s="9">
        <v>0.21</v>
      </c>
      <c r="D53" s="52">
        <v>0.24</v>
      </c>
      <c r="J53" s="41">
        <v>2.5</v>
      </c>
      <c r="K53" s="48">
        <v>4.36E-2</v>
      </c>
      <c r="L53" s="41">
        <v>2.5</v>
      </c>
      <c r="M53" s="49">
        <v>0.999</v>
      </c>
      <c r="N53" s="50">
        <f t="shared" si="3"/>
        <v>4.3643643643643641E-2</v>
      </c>
      <c r="O53" s="50">
        <f t="shared" si="4"/>
        <v>22.912844036697248</v>
      </c>
    </row>
    <row r="54" spans="1:15" x14ac:dyDescent="0.3">
      <c r="A54" s="51">
        <v>0.19</v>
      </c>
      <c r="B54" s="9">
        <v>0.19</v>
      </c>
      <c r="C54" s="53">
        <v>0.22</v>
      </c>
      <c r="D54" s="53">
        <v>0.27</v>
      </c>
      <c r="J54" s="41">
        <v>3</v>
      </c>
      <c r="K54" s="48">
        <v>5.2330000000000002E-2</v>
      </c>
      <c r="L54" s="41">
        <v>3</v>
      </c>
      <c r="M54" s="49">
        <v>0.99860000000000004</v>
      </c>
      <c r="N54" s="50">
        <f t="shared" si="3"/>
        <v>5.2403364710594834E-2</v>
      </c>
      <c r="O54" s="50">
        <f t="shared" si="4"/>
        <v>19.082744123829542</v>
      </c>
    </row>
    <row r="55" spans="1:15" x14ac:dyDescent="0.3">
      <c r="A55" s="51">
        <v>0.2</v>
      </c>
      <c r="B55" s="9">
        <v>0.19</v>
      </c>
      <c r="C55" s="53">
        <v>0.23</v>
      </c>
      <c r="D55" s="52">
        <v>0.3</v>
      </c>
      <c r="J55" s="41">
        <v>3.5</v>
      </c>
      <c r="K55" s="48">
        <v>6.0999999999999999E-2</v>
      </c>
      <c r="L55" s="41">
        <v>3.5</v>
      </c>
      <c r="M55" s="49">
        <v>0.99809999999999999</v>
      </c>
      <c r="N55" s="50">
        <f t="shared" si="3"/>
        <v>6.111612062919547E-2</v>
      </c>
      <c r="O55" s="50">
        <f t="shared" si="4"/>
        <v>16.362295081967215</v>
      </c>
    </row>
    <row r="56" spans="1:15" x14ac:dyDescent="0.3">
      <c r="A56" s="51">
        <v>0.21</v>
      </c>
      <c r="B56" s="9">
        <v>0.2</v>
      </c>
      <c r="C56" s="53">
        <v>0.24</v>
      </c>
      <c r="D56" s="52">
        <v>0.32</v>
      </c>
      <c r="J56" s="41">
        <v>4</v>
      </c>
      <c r="K56" s="48">
        <v>6.9699999999999998E-2</v>
      </c>
      <c r="L56" s="41">
        <v>4</v>
      </c>
      <c r="M56" s="49">
        <v>0.99750000000000005</v>
      </c>
      <c r="N56" s="50">
        <f t="shared" si="3"/>
        <v>6.9874686716791978E-2</v>
      </c>
      <c r="O56" s="50">
        <f t="shared" si="4"/>
        <v>14.311334289813487</v>
      </c>
    </row>
    <row r="57" spans="1:15" x14ac:dyDescent="0.3">
      <c r="A57" s="51">
        <v>0.22</v>
      </c>
      <c r="B57" s="9">
        <v>0.2</v>
      </c>
      <c r="C57" s="53">
        <v>0.25</v>
      </c>
      <c r="D57" s="53">
        <v>0.35</v>
      </c>
      <c r="J57" s="41">
        <v>4.5</v>
      </c>
      <c r="K57" s="48">
        <v>7.8450000000000006E-2</v>
      </c>
      <c r="L57" s="41">
        <v>4.5</v>
      </c>
      <c r="M57" s="49">
        <v>0.99690000000000001</v>
      </c>
      <c r="N57" s="50">
        <f t="shared" si="3"/>
        <v>7.8693951248871505E-2</v>
      </c>
      <c r="O57" s="50">
        <f t="shared" si="4"/>
        <v>12.707456978967494</v>
      </c>
    </row>
    <row r="58" spans="1:15" x14ac:dyDescent="0.3">
      <c r="A58" s="51">
        <v>0.23</v>
      </c>
      <c r="B58" s="9">
        <v>0.2</v>
      </c>
      <c r="C58" s="53">
        <v>0.26</v>
      </c>
      <c r="D58" s="52">
        <v>0.38</v>
      </c>
      <c r="J58" s="41">
        <v>5</v>
      </c>
      <c r="K58" s="48">
        <v>8.7099999999999997E-2</v>
      </c>
      <c r="L58" s="41">
        <v>5</v>
      </c>
      <c r="M58" s="49">
        <v>0.99619999999999997</v>
      </c>
      <c r="N58" s="50">
        <f t="shared" si="3"/>
        <v>8.7432242521582007E-2</v>
      </c>
      <c r="O58" s="50">
        <f t="shared" si="4"/>
        <v>11.437428243398394</v>
      </c>
    </row>
    <row r="59" spans="1:15" x14ac:dyDescent="0.3">
      <c r="A59" s="51">
        <v>0.24</v>
      </c>
      <c r="B59" s="9">
        <v>0.21</v>
      </c>
      <c r="C59" s="53">
        <v>0.27</v>
      </c>
      <c r="D59" s="53">
        <v>0.41</v>
      </c>
      <c r="J59" s="41">
        <v>5.5</v>
      </c>
      <c r="K59" s="48">
        <v>9.5839999999999995E-2</v>
      </c>
      <c r="L59" s="41">
        <v>5.5</v>
      </c>
      <c r="M59" s="49">
        <v>0.99529999999999996</v>
      </c>
      <c r="N59" s="50">
        <f t="shared" si="3"/>
        <v>9.6292575102984029E-2</v>
      </c>
      <c r="O59" s="50">
        <f t="shared" si="4"/>
        <v>10.385016694490819</v>
      </c>
    </row>
    <row r="60" spans="1:15" x14ac:dyDescent="0.3">
      <c r="A60" s="54">
        <v>0.25</v>
      </c>
      <c r="B60" s="53">
        <v>0.21</v>
      </c>
      <c r="C60" s="53">
        <v>0.28000000000000003</v>
      </c>
      <c r="D60" s="52">
        <v>0.44</v>
      </c>
      <c r="J60" s="41">
        <v>6</v>
      </c>
      <c r="K60" s="48">
        <v>0.104</v>
      </c>
      <c r="L60" s="41">
        <v>6</v>
      </c>
      <c r="M60" s="49">
        <v>0.99450000000000005</v>
      </c>
      <c r="N60" s="50">
        <f t="shared" si="3"/>
        <v>0.1045751633986928</v>
      </c>
      <c r="O60" s="50">
        <f t="shared" si="4"/>
        <v>9.5625000000000018</v>
      </c>
    </row>
    <row r="61" spans="1:15" x14ac:dyDescent="0.3">
      <c r="A61" s="51">
        <v>0.26</v>
      </c>
      <c r="B61" s="53">
        <v>0.21</v>
      </c>
      <c r="C61" s="53">
        <v>0.28999999999999998</v>
      </c>
      <c r="D61" s="53">
        <v>0.47</v>
      </c>
      <c r="J61" s="41">
        <v>6.5</v>
      </c>
      <c r="K61" s="48">
        <v>0.1132</v>
      </c>
      <c r="L61" s="41">
        <v>6.5</v>
      </c>
      <c r="M61" s="49">
        <v>0.99350000000000005</v>
      </c>
      <c r="N61" s="50">
        <f t="shared" si="3"/>
        <v>0.1139406139909411</v>
      </c>
      <c r="O61" s="50">
        <f t="shared" si="4"/>
        <v>8.7765017667844525</v>
      </c>
    </row>
    <row r="62" spans="1:15" x14ac:dyDescent="0.3">
      <c r="A62" s="54">
        <v>0.27</v>
      </c>
      <c r="B62" s="53">
        <v>0.22</v>
      </c>
      <c r="C62" s="53">
        <v>0.3</v>
      </c>
      <c r="D62" s="52">
        <v>0.5</v>
      </c>
      <c r="J62" s="41">
        <v>7</v>
      </c>
      <c r="K62" s="48">
        <v>0.12180000000000001</v>
      </c>
      <c r="L62" s="41">
        <v>7</v>
      </c>
      <c r="M62" s="49">
        <v>0.99250000000000005</v>
      </c>
      <c r="N62" s="50">
        <f t="shared" si="3"/>
        <v>0.12272040302267002</v>
      </c>
      <c r="O62" s="50">
        <f t="shared" si="4"/>
        <v>8.1486042692939247</v>
      </c>
    </row>
    <row r="63" spans="1:15" x14ac:dyDescent="0.3">
      <c r="A63" s="51">
        <v>0.28000000000000003</v>
      </c>
      <c r="B63" s="53">
        <v>0.22</v>
      </c>
      <c r="C63" s="53">
        <v>0.31</v>
      </c>
      <c r="D63" s="53">
        <v>0.54999999999999905</v>
      </c>
      <c r="J63" s="41">
        <v>7.5</v>
      </c>
      <c r="K63" s="48">
        <v>0.1305</v>
      </c>
      <c r="L63" s="41">
        <v>7.5</v>
      </c>
      <c r="M63" s="49">
        <v>0.99143999999999999</v>
      </c>
      <c r="N63" s="50">
        <f t="shared" si="3"/>
        <v>0.13162672476397969</v>
      </c>
      <c r="O63" s="50">
        <f t="shared" si="4"/>
        <v>7.5972413793103444</v>
      </c>
    </row>
    <row r="64" spans="1:15" x14ac:dyDescent="0.3">
      <c r="A64" s="54">
        <v>0.28999999999999998</v>
      </c>
      <c r="B64" s="53">
        <v>0.22</v>
      </c>
      <c r="C64" s="53">
        <v>0.32</v>
      </c>
      <c r="D64" s="52">
        <v>0.59999999999999898</v>
      </c>
      <c r="J64" s="41">
        <v>8</v>
      </c>
      <c r="K64" s="48">
        <v>0.1391</v>
      </c>
      <c r="L64" s="41">
        <v>8</v>
      </c>
      <c r="M64" s="49">
        <v>0.99019999999999997</v>
      </c>
      <c r="N64" s="50">
        <f t="shared" si="3"/>
        <v>0.1404766713795193</v>
      </c>
      <c r="O64" s="50">
        <f t="shared" si="4"/>
        <v>7.11861969805895</v>
      </c>
    </row>
    <row r="65" spans="1:15" x14ac:dyDescent="0.3">
      <c r="A65" s="51">
        <v>0.3</v>
      </c>
      <c r="B65" s="53">
        <v>0.23</v>
      </c>
      <c r="C65" s="17">
        <v>0.33</v>
      </c>
      <c r="D65" s="53">
        <v>0.64999999999999902</v>
      </c>
      <c r="J65" s="41">
        <v>8.5</v>
      </c>
      <c r="K65" s="48">
        <v>0.14779999999999999</v>
      </c>
      <c r="L65" s="41">
        <v>8.5</v>
      </c>
      <c r="M65" s="49">
        <v>0.98899999999999999</v>
      </c>
      <c r="N65" s="50">
        <f t="shared" si="3"/>
        <v>0.14944388270980788</v>
      </c>
      <c r="O65" s="50">
        <f t="shared" si="4"/>
        <v>6.6914749661705013</v>
      </c>
    </row>
    <row r="66" spans="1:15" x14ac:dyDescent="0.3">
      <c r="A66" s="54">
        <v>0.31</v>
      </c>
      <c r="B66" s="53">
        <v>0.23</v>
      </c>
      <c r="C66" s="17">
        <v>0.34</v>
      </c>
      <c r="D66" s="52">
        <v>0.69999999999999896</v>
      </c>
      <c r="J66" s="41">
        <v>9</v>
      </c>
      <c r="K66" s="48">
        <v>0.15640000000000001</v>
      </c>
      <c r="L66" s="41">
        <v>9</v>
      </c>
      <c r="M66" s="49">
        <v>0.98760000000000003</v>
      </c>
      <c r="N66" s="50">
        <f t="shared" si="3"/>
        <v>0.15836371000405022</v>
      </c>
      <c r="O66" s="50">
        <f t="shared" si="4"/>
        <v>6.3145780051150897</v>
      </c>
    </row>
    <row r="67" spans="1:15" x14ac:dyDescent="0.3">
      <c r="A67" s="51">
        <v>0.32</v>
      </c>
      <c r="B67" s="53">
        <v>0.24</v>
      </c>
      <c r="C67" s="53">
        <v>0.35</v>
      </c>
      <c r="D67" s="53">
        <v>0.75</v>
      </c>
      <c r="J67" s="41">
        <v>9.5</v>
      </c>
      <c r="K67" s="48">
        <v>0.16539999999999999</v>
      </c>
      <c r="L67" s="41">
        <v>9.5</v>
      </c>
      <c r="M67" s="49">
        <v>0.98628000000000005</v>
      </c>
      <c r="N67" s="50">
        <f t="shared" si="3"/>
        <v>0.16770085574076327</v>
      </c>
      <c r="O67" s="50">
        <f t="shared" si="4"/>
        <v>5.9629987908101576</v>
      </c>
    </row>
    <row r="68" spans="1:15" x14ac:dyDescent="0.3">
      <c r="A68" s="54">
        <v>0.33</v>
      </c>
      <c r="B68" s="53">
        <v>0.24</v>
      </c>
      <c r="C68" s="53">
        <v>0.36</v>
      </c>
      <c r="D68" s="52">
        <v>0.82000000000000695</v>
      </c>
      <c r="J68" s="41">
        <v>10</v>
      </c>
      <c r="K68" s="48">
        <v>0.1736</v>
      </c>
      <c r="L68" s="41">
        <v>10</v>
      </c>
      <c r="M68" s="49">
        <v>0.98480000000000001</v>
      </c>
      <c r="N68" s="50">
        <f t="shared" si="3"/>
        <v>0.17627944760357434</v>
      </c>
      <c r="O68" s="50">
        <f t="shared" si="4"/>
        <v>5.6728110599078336</v>
      </c>
    </row>
    <row r="69" spans="1:15" x14ac:dyDescent="0.3">
      <c r="A69" s="51">
        <v>0.34</v>
      </c>
      <c r="B69" s="53">
        <v>0.24</v>
      </c>
      <c r="C69" s="53">
        <v>0.37</v>
      </c>
      <c r="D69" s="52">
        <v>0.88000000000001299</v>
      </c>
      <c r="J69" s="41">
        <v>10.5</v>
      </c>
      <c r="K69" s="48">
        <v>0.1822</v>
      </c>
      <c r="L69" s="41">
        <v>10.5</v>
      </c>
      <c r="M69" s="49">
        <v>0.98319999999999996</v>
      </c>
      <c r="N69" s="50">
        <f t="shared" si="3"/>
        <v>0.185313262815297</v>
      </c>
      <c r="O69" s="50">
        <f t="shared" si="4"/>
        <v>5.3962678375411635</v>
      </c>
    </row>
    <row r="70" spans="1:15" x14ac:dyDescent="0.3">
      <c r="A70" s="54">
        <v>0.35</v>
      </c>
      <c r="B70" s="53">
        <v>0.25</v>
      </c>
      <c r="C70" s="53">
        <v>0.38</v>
      </c>
      <c r="D70" s="52">
        <v>0.94000000000001904</v>
      </c>
      <c r="J70" s="41">
        <v>11</v>
      </c>
      <c r="K70" s="48">
        <v>0.1908</v>
      </c>
      <c r="L70" s="41">
        <v>11</v>
      </c>
      <c r="M70" s="49">
        <v>0.98099999999999998</v>
      </c>
      <c r="N70" s="50">
        <f t="shared" si="3"/>
        <v>0.19449541284403671</v>
      </c>
      <c r="O70" s="50">
        <f t="shared" si="4"/>
        <v>5.1415094339622645</v>
      </c>
    </row>
    <row r="71" spans="1:15" x14ac:dyDescent="0.3">
      <c r="A71" s="51">
        <v>0.36</v>
      </c>
      <c r="B71" s="53">
        <v>0.25</v>
      </c>
      <c r="C71" s="53">
        <v>0.39</v>
      </c>
      <c r="D71" s="53">
        <v>1.00000000000002</v>
      </c>
      <c r="J71" s="41">
        <v>11.5</v>
      </c>
      <c r="K71" s="48">
        <v>0.19936000000000001</v>
      </c>
      <c r="L71" s="41">
        <v>11.5</v>
      </c>
      <c r="M71" s="49">
        <v>0.97989999999999999</v>
      </c>
      <c r="N71" s="50">
        <f t="shared" si="3"/>
        <v>0.20344933156444536</v>
      </c>
      <c r="O71" s="50">
        <f t="shared" si="4"/>
        <v>4.9152287319422152</v>
      </c>
    </row>
    <row r="72" spans="1:15" x14ac:dyDescent="0.3">
      <c r="A72" s="54">
        <v>0.37</v>
      </c>
      <c r="B72" s="53">
        <v>0.25</v>
      </c>
      <c r="C72" s="17">
        <v>0.4</v>
      </c>
      <c r="D72" s="53">
        <v>1.0800000000001</v>
      </c>
      <c r="J72" s="41">
        <v>12</v>
      </c>
      <c r="K72" s="48">
        <v>0.2079</v>
      </c>
      <c r="L72" s="41">
        <v>12</v>
      </c>
      <c r="M72" s="49">
        <v>0.97799999999999998</v>
      </c>
      <c r="N72" s="50">
        <f t="shared" si="3"/>
        <v>0.21257668711656441</v>
      </c>
      <c r="O72" s="50">
        <f t="shared" si="4"/>
        <v>4.704184704184704</v>
      </c>
    </row>
    <row r="73" spans="1:15" x14ac:dyDescent="0.3">
      <c r="A73" s="51">
        <v>0.38</v>
      </c>
      <c r="B73" s="53">
        <v>0.26</v>
      </c>
      <c r="C73" s="17">
        <v>0.41</v>
      </c>
      <c r="D73" s="53">
        <v>1.16000000000018</v>
      </c>
      <c r="J73" s="41">
        <v>12.5</v>
      </c>
      <c r="K73" s="48">
        <v>0.81899999999999995</v>
      </c>
      <c r="L73" s="41">
        <v>12.5</v>
      </c>
      <c r="M73" s="49">
        <v>0.97628999999999999</v>
      </c>
      <c r="N73" s="50">
        <f t="shared" si="3"/>
        <v>0.83889008388900832</v>
      </c>
      <c r="O73" s="50">
        <f t="shared" si="4"/>
        <v>1.1920512820512821</v>
      </c>
    </row>
    <row r="74" spans="1:15" x14ac:dyDescent="0.3">
      <c r="A74" s="54">
        <v>0.39</v>
      </c>
      <c r="B74" s="53">
        <v>0.26</v>
      </c>
      <c r="C74" s="53">
        <v>0.42</v>
      </c>
      <c r="D74" s="53">
        <v>1.25</v>
      </c>
      <c r="J74" s="41">
        <v>13</v>
      </c>
      <c r="K74" s="48">
        <v>0.22489999999999999</v>
      </c>
      <c r="L74" s="41">
        <v>13</v>
      </c>
      <c r="M74" s="49">
        <v>0.97430000000000005</v>
      </c>
      <c r="N74" s="50">
        <f t="shared" si="3"/>
        <v>0.23083239248691365</v>
      </c>
      <c r="O74" s="50">
        <f t="shared" si="4"/>
        <v>4.332147621164963</v>
      </c>
    </row>
    <row r="75" spans="1:15" x14ac:dyDescent="0.3">
      <c r="A75" s="51">
        <v>0.4</v>
      </c>
      <c r="B75" s="53">
        <v>0.26</v>
      </c>
      <c r="C75" s="53">
        <v>0.43</v>
      </c>
      <c r="D75" s="53">
        <v>1.32999999999792</v>
      </c>
      <c r="J75" s="41">
        <v>13.5</v>
      </c>
      <c r="K75" s="48">
        <v>0.2334</v>
      </c>
      <c r="L75" s="41">
        <v>13.5</v>
      </c>
      <c r="M75" s="49">
        <v>0.97236</v>
      </c>
      <c r="N75" s="50">
        <f t="shared" si="3"/>
        <v>0.24003455510304825</v>
      </c>
      <c r="O75" s="50">
        <f t="shared" si="4"/>
        <v>4.1660668380462722</v>
      </c>
    </row>
    <row r="76" spans="1:15" x14ac:dyDescent="0.3">
      <c r="A76" s="54">
        <v>0.41</v>
      </c>
      <c r="B76" s="53">
        <v>0.27</v>
      </c>
      <c r="C76" s="53">
        <v>0.44</v>
      </c>
      <c r="D76" s="53">
        <v>1.4099999999958399</v>
      </c>
      <c r="J76" s="41">
        <v>14</v>
      </c>
      <c r="K76" s="48">
        <v>0.2419</v>
      </c>
      <c r="L76" s="41">
        <v>14</v>
      </c>
      <c r="M76" s="49">
        <v>0.97019999999999995</v>
      </c>
      <c r="N76" s="50">
        <f t="shared" si="3"/>
        <v>0.24933003504432077</v>
      </c>
      <c r="O76" s="50">
        <f t="shared" si="4"/>
        <v>4.0107482430756507</v>
      </c>
    </row>
    <row r="77" spans="1:15" x14ac:dyDescent="0.3">
      <c r="A77" s="51">
        <v>0.42</v>
      </c>
      <c r="B77" s="53">
        <v>0.27</v>
      </c>
      <c r="C77" s="53">
        <v>0.45</v>
      </c>
      <c r="D77" s="53">
        <v>1.5</v>
      </c>
      <c r="J77" s="41">
        <v>14.5</v>
      </c>
      <c r="K77" s="48">
        <v>0.25030000000000002</v>
      </c>
      <c r="L77" s="41">
        <v>14.5</v>
      </c>
      <c r="M77" s="49">
        <v>0.96799999999999997</v>
      </c>
      <c r="N77" s="50">
        <f t="shared" si="3"/>
        <v>0.25857438016528927</v>
      </c>
      <c r="O77" s="50">
        <f t="shared" si="4"/>
        <v>3.8673591689972029</v>
      </c>
    </row>
    <row r="78" spans="1:15" x14ac:dyDescent="0.3">
      <c r="A78" s="54">
        <v>0.43</v>
      </c>
      <c r="B78" s="53">
        <v>0.27</v>
      </c>
      <c r="C78" s="53">
        <v>0.46</v>
      </c>
      <c r="D78" s="53">
        <v>1.6300000000811199</v>
      </c>
      <c r="J78" s="41">
        <v>15</v>
      </c>
      <c r="K78" s="48">
        <v>0.25879999999999997</v>
      </c>
      <c r="L78" s="41">
        <v>15</v>
      </c>
      <c r="M78" s="49">
        <v>0.96589999999999998</v>
      </c>
      <c r="N78" s="50">
        <f t="shared" si="3"/>
        <v>0.26793663940366497</v>
      </c>
      <c r="O78" s="50">
        <f t="shared" si="4"/>
        <v>3.7322256568778984</v>
      </c>
    </row>
    <row r="79" spans="1:15" x14ac:dyDescent="0.3">
      <c r="A79" s="51">
        <v>0.44</v>
      </c>
      <c r="B79" s="53">
        <v>0.28000000000000003</v>
      </c>
      <c r="C79" s="53">
        <v>0.46</v>
      </c>
      <c r="D79" s="53">
        <v>1.64000000008736</v>
      </c>
      <c r="J79" s="41">
        <v>15.5</v>
      </c>
      <c r="K79" s="48">
        <v>0.25879999999999997</v>
      </c>
      <c r="L79" s="41">
        <v>15.5</v>
      </c>
      <c r="M79" s="49">
        <v>0.96360000000000001</v>
      </c>
      <c r="N79" s="50">
        <f t="shared" si="3"/>
        <v>0.26857617268576167</v>
      </c>
      <c r="O79" s="50">
        <f t="shared" si="4"/>
        <v>3.7233384853168472</v>
      </c>
    </row>
    <row r="80" spans="1:15" x14ac:dyDescent="0.3">
      <c r="A80" s="54">
        <v>0.45</v>
      </c>
      <c r="B80" s="53">
        <v>0.28000000000000003</v>
      </c>
      <c r="C80" s="53">
        <v>0.47</v>
      </c>
      <c r="D80" s="53">
        <v>1.75</v>
      </c>
      <c r="J80" s="41">
        <v>16</v>
      </c>
      <c r="K80" s="48">
        <v>0.27560000000000001</v>
      </c>
      <c r="L80" s="41">
        <v>16</v>
      </c>
      <c r="M80" s="49">
        <v>0.96120000000000005</v>
      </c>
      <c r="N80" s="50">
        <f t="shared" si="3"/>
        <v>0.28672492717436537</v>
      </c>
      <c r="O80" s="50">
        <f t="shared" si="4"/>
        <v>3.4876632801161103</v>
      </c>
    </row>
    <row r="81" spans="1:15" x14ac:dyDescent="0.3">
      <c r="A81" s="51">
        <v>0.46</v>
      </c>
      <c r="B81" s="53">
        <v>0.28000000000000003</v>
      </c>
      <c r="C81" s="53">
        <v>0.48</v>
      </c>
      <c r="D81" s="53">
        <v>1.8799999980531199</v>
      </c>
      <c r="J81" s="41">
        <v>16.5</v>
      </c>
      <c r="K81" s="48">
        <v>0.28399999999999997</v>
      </c>
      <c r="L81" s="41">
        <v>16.5</v>
      </c>
      <c r="M81" s="49">
        <v>0.95879999999999999</v>
      </c>
      <c r="N81" s="50">
        <f t="shared" si="3"/>
        <v>0.29620358781810596</v>
      </c>
      <c r="O81" s="50">
        <f t="shared" si="4"/>
        <v>3.3760563380281692</v>
      </c>
    </row>
    <row r="82" spans="1:15" x14ac:dyDescent="0.3">
      <c r="A82" s="54">
        <v>0.47</v>
      </c>
      <c r="B82" s="53">
        <v>0.28999999999999998</v>
      </c>
      <c r="C82" s="53">
        <v>0.49</v>
      </c>
      <c r="D82" s="53">
        <v>2</v>
      </c>
      <c r="J82" s="41">
        <v>17</v>
      </c>
      <c r="K82" s="48">
        <v>0.2923</v>
      </c>
      <c r="L82" s="41">
        <v>17</v>
      </c>
      <c r="M82" s="49">
        <v>0.95630000000000004</v>
      </c>
      <c r="N82" s="50">
        <f t="shared" si="3"/>
        <v>0.30565722053748823</v>
      </c>
      <c r="O82" s="50">
        <f t="shared" si="4"/>
        <v>3.2716387273349299</v>
      </c>
    </row>
    <row r="83" spans="1:15" x14ac:dyDescent="0.3">
      <c r="A83" s="51">
        <v>0.48</v>
      </c>
      <c r="B83" s="53">
        <v>0.28999999999999998</v>
      </c>
      <c r="C83" s="53">
        <v>0.5</v>
      </c>
      <c r="D83" s="53">
        <v>2.1300000467251201</v>
      </c>
      <c r="J83" s="41">
        <v>17.5</v>
      </c>
      <c r="K83" s="48">
        <v>0.30070000000000002</v>
      </c>
      <c r="L83" s="41">
        <v>17.5</v>
      </c>
      <c r="M83" s="49">
        <v>0.95369999999999999</v>
      </c>
      <c r="N83" s="50">
        <f t="shared" si="3"/>
        <v>0.31529831183810425</v>
      </c>
      <c r="O83" s="50">
        <f t="shared" si="4"/>
        <v>3.1715996009311604</v>
      </c>
    </row>
    <row r="84" spans="1:15" x14ac:dyDescent="0.3">
      <c r="A84" s="54">
        <v>0.49</v>
      </c>
      <c r="B84" s="53">
        <v>0.28999999999999998</v>
      </c>
      <c r="C84" s="53">
        <v>0.51</v>
      </c>
      <c r="D84" s="53">
        <v>2.25</v>
      </c>
      <c r="J84" s="41">
        <v>18</v>
      </c>
      <c r="K84" s="48">
        <v>0.309</v>
      </c>
      <c r="L84" s="41">
        <v>18</v>
      </c>
      <c r="M84" s="49">
        <v>0.95099999999999996</v>
      </c>
      <c r="N84" s="50">
        <f t="shared" si="3"/>
        <v>0.32492113564668773</v>
      </c>
      <c r="O84" s="50">
        <f t="shared" si="4"/>
        <v>3.0776699029126213</v>
      </c>
    </row>
    <row r="85" spans="1:15" x14ac:dyDescent="0.3">
      <c r="A85" s="51">
        <v>0.5</v>
      </c>
      <c r="B85" s="53">
        <v>0.3</v>
      </c>
      <c r="J85" s="41">
        <v>18.5</v>
      </c>
      <c r="K85" s="48">
        <v>0.31730000000000003</v>
      </c>
      <c r="L85" s="41">
        <v>18.5</v>
      </c>
      <c r="M85" s="49">
        <v>0.94830000000000003</v>
      </c>
      <c r="N85" s="50">
        <f t="shared" si="3"/>
        <v>0.33459875566803754</v>
      </c>
      <c r="O85" s="50">
        <f t="shared" si="4"/>
        <v>2.9886542704065553</v>
      </c>
    </row>
    <row r="86" spans="1:15" x14ac:dyDescent="0.3">
      <c r="A86" s="54">
        <v>0.50999999999999901</v>
      </c>
      <c r="B86" s="53">
        <v>0.3</v>
      </c>
      <c r="J86" s="41">
        <v>19</v>
      </c>
      <c r="K86" s="48">
        <v>0.32550000000000001</v>
      </c>
      <c r="L86" s="41">
        <v>19</v>
      </c>
      <c r="M86" s="49">
        <v>0.94550000000000001</v>
      </c>
      <c r="N86" s="50">
        <f t="shared" si="3"/>
        <v>0.34426229508196721</v>
      </c>
      <c r="O86" s="50">
        <f t="shared" si="4"/>
        <v>2.9047619047619047</v>
      </c>
    </row>
    <row r="87" spans="1:15" x14ac:dyDescent="0.3">
      <c r="A87" s="51">
        <v>0.51999999999999902</v>
      </c>
      <c r="B87" s="53">
        <v>0.3</v>
      </c>
      <c r="J87" s="41">
        <v>19.5</v>
      </c>
      <c r="K87" s="48">
        <v>0.33379999999999999</v>
      </c>
      <c r="L87" s="41">
        <v>19.5</v>
      </c>
      <c r="M87" s="49">
        <v>0.94259999999999999</v>
      </c>
      <c r="N87" s="50">
        <f t="shared" si="3"/>
        <v>0.35412688308932738</v>
      </c>
      <c r="O87" s="50">
        <f t="shared" si="4"/>
        <v>2.8238466147393648</v>
      </c>
    </row>
    <row r="88" spans="1:15" x14ac:dyDescent="0.3">
      <c r="A88" s="54">
        <v>0.52999999999999903</v>
      </c>
      <c r="B88" s="53">
        <v>0.3</v>
      </c>
      <c r="J88" s="41">
        <v>20</v>
      </c>
      <c r="K88" s="48">
        <v>0.34200000000000003</v>
      </c>
      <c r="L88" s="41">
        <v>20</v>
      </c>
      <c r="M88" s="49">
        <v>0.93959999999999999</v>
      </c>
      <c r="N88" s="50">
        <f t="shared" si="3"/>
        <v>0.36398467432950193</v>
      </c>
      <c r="O88" s="50">
        <f t="shared" si="4"/>
        <v>2.7473684210526312</v>
      </c>
    </row>
    <row r="89" spans="1:15" x14ac:dyDescent="0.3">
      <c r="A89" s="51">
        <v>0.53999999999999904</v>
      </c>
      <c r="B89" s="53">
        <v>0.3</v>
      </c>
      <c r="J89" s="41">
        <v>20.5</v>
      </c>
      <c r="K89" s="48">
        <v>0.35020000000000001</v>
      </c>
      <c r="L89" s="41">
        <v>20.5</v>
      </c>
      <c r="M89" s="49">
        <v>0.93659999999999999</v>
      </c>
      <c r="N89" s="50">
        <f t="shared" si="3"/>
        <v>0.37390561605808242</v>
      </c>
      <c r="O89" s="50">
        <f t="shared" si="4"/>
        <v>2.6744717304397487</v>
      </c>
    </row>
    <row r="90" spans="1:15" x14ac:dyDescent="0.3">
      <c r="A90" s="54">
        <v>0.54999999999999905</v>
      </c>
      <c r="B90" s="53">
        <v>0.31</v>
      </c>
      <c r="J90" s="41">
        <v>21</v>
      </c>
      <c r="K90" s="48">
        <v>0.35830000000000001</v>
      </c>
      <c r="L90" s="41">
        <v>21</v>
      </c>
      <c r="M90" s="49">
        <v>0.9335</v>
      </c>
      <c r="N90" s="50">
        <f t="shared" si="3"/>
        <v>0.3838243170862346</v>
      </c>
      <c r="O90" s="50">
        <f t="shared" si="4"/>
        <v>2.6053586380128384</v>
      </c>
    </row>
    <row r="91" spans="1:15" x14ac:dyDescent="0.3">
      <c r="A91" s="51">
        <v>0.55999999999999905</v>
      </c>
      <c r="B91" s="53">
        <v>0.31</v>
      </c>
      <c r="J91" s="41">
        <v>21.5</v>
      </c>
      <c r="K91" s="48">
        <v>0.36649999999999999</v>
      </c>
      <c r="L91" s="41">
        <v>21.5</v>
      </c>
      <c r="M91" s="49">
        <v>0.9304</v>
      </c>
      <c r="N91" s="50">
        <f t="shared" si="3"/>
        <v>0.39391659501289766</v>
      </c>
      <c r="O91" s="50">
        <f t="shared" si="4"/>
        <v>2.5386084583901773</v>
      </c>
    </row>
    <row r="92" spans="1:15" x14ac:dyDescent="0.3">
      <c r="A92" s="54">
        <v>0.56999999999999895</v>
      </c>
      <c r="B92" s="53">
        <v>0.31</v>
      </c>
      <c r="J92" s="41">
        <v>22</v>
      </c>
      <c r="K92" s="48">
        <v>0.37459999999999999</v>
      </c>
      <c r="L92" s="41">
        <v>22</v>
      </c>
      <c r="M92" s="49">
        <v>0.92710000000000004</v>
      </c>
      <c r="N92" s="50">
        <f t="shared" si="3"/>
        <v>0.40405565742638333</v>
      </c>
      <c r="O92" s="50">
        <f t="shared" si="4"/>
        <v>2.4749065670048052</v>
      </c>
    </row>
    <row r="93" spans="1:15" x14ac:dyDescent="0.3">
      <c r="A93" s="51">
        <v>0.57999999999999896</v>
      </c>
      <c r="B93" s="53">
        <v>0.31</v>
      </c>
      <c r="J93" s="41">
        <v>22.5</v>
      </c>
      <c r="K93" s="48">
        <v>0.38268000000000002</v>
      </c>
      <c r="L93" s="41">
        <v>22.5</v>
      </c>
      <c r="M93" s="49">
        <v>0.92379999999999995</v>
      </c>
      <c r="N93" s="50">
        <f t="shared" si="3"/>
        <v>0.41424550768564627</v>
      </c>
      <c r="O93" s="50">
        <f t="shared" si="4"/>
        <v>2.4140273858053725</v>
      </c>
    </row>
    <row r="94" spans="1:15" x14ac:dyDescent="0.3">
      <c r="A94" s="54">
        <v>0.58999999999999897</v>
      </c>
      <c r="B94" s="53">
        <v>0.31</v>
      </c>
      <c r="J94" s="41">
        <v>23</v>
      </c>
      <c r="K94" s="48">
        <v>0.39069999999999999</v>
      </c>
      <c r="L94" s="41">
        <v>23</v>
      </c>
      <c r="M94" s="49">
        <v>0.92049999999999998</v>
      </c>
      <c r="N94" s="50">
        <f t="shared" si="3"/>
        <v>0.42444323737099404</v>
      </c>
      <c r="O94" s="50">
        <f t="shared" si="4"/>
        <v>2.3560276426926032</v>
      </c>
    </row>
    <row r="95" spans="1:15" x14ac:dyDescent="0.3">
      <c r="A95" s="51">
        <v>0.59999999999999898</v>
      </c>
      <c r="B95" s="53">
        <v>0.32</v>
      </c>
      <c r="J95" s="41">
        <v>23.5</v>
      </c>
      <c r="K95" s="48">
        <v>0.3987</v>
      </c>
      <c r="L95" s="41">
        <v>23.5</v>
      </c>
      <c r="M95" s="49">
        <v>0.91700000000000004</v>
      </c>
      <c r="N95" s="50">
        <f t="shared" si="3"/>
        <v>0.43478735005452562</v>
      </c>
      <c r="O95" s="50">
        <f t="shared" si="4"/>
        <v>2.2999749184850766</v>
      </c>
    </row>
    <row r="96" spans="1:15" x14ac:dyDescent="0.3">
      <c r="A96" s="54">
        <v>0.60999999999999899</v>
      </c>
      <c r="B96" s="53">
        <v>0.32</v>
      </c>
      <c r="J96" s="41">
        <v>24</v>
      </c>
      <c r="K96" s="48">
        <v>0.40670000000000001</v>
      </c>
      <c r="L96" s="41">
        <v>24</v>
      </c>
      <c r="M96" s="49">
        <v>0.92349999999999999</v>
      </c>
      <c r="N96" s="50">
        <f t="shared" si="3"/>
        <v>0.44038982133188959</v>
      </c>
      <c r="O96" s="50">
        <f t="shared" si="4"/>
        <v>2.2707155151217111</v>
      </c>
    </row>
    <row r="97" spans="1:15" x14ac:dyDescent="0.3">
      <c r="A97" s="51">
        <v>0.619999999999999</v>
      </c>
      <c r="B97" s="53">
        <v>0.32</v>
      </c>
      <c r="J97" s="41">
        <v>24.5</v>
      </c>
      <c r="K97" s="48">
        <v>0.41469</v>
      </c>
      <c r="L97" s="41">
        <v>24.5</v>
      </c>
      <c r="M97" s="49">
        <v>0.90990000000000004</v>
      </c>
      <c r="N97" s="50">
        <f t="shared" si="3"/>
        <v>0.45575337949225186</v>
      </c>
      <c r="O97" s="50">
        <f t="shared" si="4"/>
        <v>2.1941691383925344</v>
      </c>
    </row>
    <row r="98" spans="1:15" x14ac:dyDescent="0.3">
      <c r="A98" s="54">
        <v>0.62999999999999901</v>
      </c>
      <c r="B98" s="53">
        <v>0.32</v>
      </c>
      <c r="J98" s="41">
        <v>25</v>
      </c>
      <c r="K98" s="48">
        <v>0.42199999999999999</v>
      </c>
      <c r="L98" s="41">
        <v>25</v>
      </c>
      <c r="M98" s="49">
        <v>0.90629999999999999</v>
      </c>
      <c r="N98" s="50">
        <f t="shared" si="3"/>
        <v>0.4656294825113097</v>
      </c>
      <c r="O98" s="50">
        <f t="shared" si="4"/>
        <v>2.1476303317535548</v>
      </c>
    </row>
    <row r="99" spans="1:15" x14ac:dyDescent="0.3">
      <c r="A99" s="51">
        <v>0.63999999999999901</v>
      </c>
      <c r="B99" s="53">
        <v>0.32</v>
      </c>
      <c r="J99" s="41">
        <v>25.5</v>
      </c>
      <c r="K99" s="48">
        <v>0.43049999999999999</v>
      </c>
      <c r="L99" s="41">
        <v>25.5</v>
      </c>
      <c r="M99" s="49">
        <v>0.9052</v>
      </c>
      <c r="N99" s="50">
        <f t="shared" si="3"/>
        <v>0.47558550596553245</v>
      </c>
      <c r="O99" s="50">
        <f t="shared" si="4"/>
        <v>2.1026713124274101</v>
      </c>
    </row>
    <row r="100" spans="1:15" x14ac:dyDescent="0.3">
      <c r="A100" s="54">
        <v>0.64999999999999902</v>
      </c>
      <c r="B100" s="17">
        <v>0.33</v>
      </c>
      <c r="J100" s="41">
        <v>26</v>
      </c>
      <c r="K100" s="48">
        <v>0.43830000000000002</v>
      </c>
      <c r="L100" s="41">
        <v>26</v>
      </c>
      <c r="M100" s="49">
        <v>0.89790000000000003</v>
      </c>
      <c r="N100" s="50">
        <f t="shared" si="3"/>
        <v>0.48813899097895092</v>
      </c>
      <c r="O100" s="50">
        <f t="shared" si="4"/>
        <v>2.0485968514715949</v>
      </c>
    </row>
    <row r="101" spans="1:15" x14ac:dyDescent="0.3">
      <c r="A101" s="51">
        <v>0.65999999999999903</v>
      </c>
      <c r="B101" s="17">
        <v>0.33</v>
      </c>
      <c r="J101" s="41">
        <v>26.5</v>
      </c>
      <c r="K101" s="48">
        <v>0.44618999999999998</v>
      </c>
      <c r="L101" s="41">
        <v>26.5</v>
      </c>
      <c r="M101" s="49">
        <v>0.89490000000000003</v>
      </c>
      <c r="N101" s="50">
        <f t="shared" si="3"/>
        <v>0.49859202145491111</v>
      </c>
      <c r="O101" s="50">
        <f t="shared" si="4"/>
        <v>2.0056478181940429</v>
      </c>
    </row>
    <row r="102" spans="1:15" x14ac:dyDescent="0.3">
      <c r="A102" s="54">
        <v>0.66999999999999904</v>
      </c>
      <c r="B102" s="17">
        <v>0.33</v>
      </c>
      <c r="J102" s="41">
        <v>27</v>
      </c>
      <c r="K102" s="48">
        <v>0.45399</v>
      </c>
      <c r="L102" s="41">
        <v>27</v>
      </c>
      <c r="M102" s="49">
        <v>0.89100000000000001</v>
      </c>
      <c r="N102" s="50">
        <f t="shared" si="3"/>
        <v>0.5095286195286195</v>
      </c>
      <c r="O102" s="50">
        <f t="shared" si="4"/>
        <v>1.9625982951166325</v>
      </c>
    </row>
    <row r="103" spans="1:15" x14ac:dyDescent="0.3">
      <c r="A103" s="51">
        <v>0.67999999999999905</v>
      </c>
      <c r="B103" s="17">
        <v>0.33</v>
      </c>
      <c r="J103" s="41">
        <v>27.5</v>
      </c>
      <c r="K103" s="48">
        <v>0.4617</v>
      </c>
      <c r="L103" s="41">
        <v>27.5</v>
      </c>
      <c r="M103" s="49">
        <v>0.88700000000000001</v>
      </c>
      <c r="N103" s="50">
        <f t="shared" si="3"/>
        <v>0.52051860202931233</v>
      </c>
      <c r="O103" s="50">
        <f t="shared" si="4"/>
        <v>1.9211609270088803</v>
      </c>
    </row>
    <row r="104" spans="1:15" x14ac:dyDescent="0.3">
      <c r="A104" s="54">
        <v>0.68999999999999895</v>
      </c>
      <c r="B104" s="17">
        <v>0.33</v>
      </c>
      <c r="J104" s="41">
        <v>28</v>
      </c>
      <c r="K104" s="48">
        <v>0.46947</v>
      </c>
      <c r="L104" s="41">
        <v>28</v>
      </c>
      <c r="M104" s="49">
        <v>0.88290000000000002</v>
      </c>
      <c r="N104" s="50">
        <f t="shared" si="3"/>
        <v>0.53173632347944277</v>
      </c>
      <c r="O104" s="50">
        <f t="shared" si="4"/>
        <v>1.8806313502460221</v>
      </c>
    </row>
    <row r="105" spans="1:15" x14ac:dyDescent="0.3">
      <c r="A105" s="51">
        <v>0.69999999999999896</v>
      </c>
      <c r="B105" s="17">
        <v>0.34</v>
      </c>
      <c r="J105" s="41">
        <v>28.5</v>
      </c>
      <c r="K105" s="48">
        <v>0.47715000000000002</v>
      </c>
      <c r="L105" s="41">
        <v>28.5</v>
      </c>
      <c r="M105" s="49">
        <v>0.87880000000000003</v>
      </c>
      <c r="N105" s="50">
        <f t="shared" si="3"/>
        <v>0.54295630405097861</v>
      </c>
      <c r="O105" s="50">
        <f t="shared" si="4"/>
        <v>1.8417688357958713</v>
      </c>
    </row>
    <row r="106" spans="1:15" x14ac:dyDescent="0.3">
      <c r="A106" s="54">
        <v>0.70999999999999897</v>
      </c>
      <c r="B106" s="17">
        <v>0.34</v>
      </c>
      <c r="J106" s="41">
        <v>29</v>
      </c>
      <c r="K106" s="48">
        <v>0.48480000000000001</v>
      </c>
      <c r="L106" s="41">
        <v>29</v>
      </c>
      <c r="M106" s="49">
        <v>0.87460000000000004</v>
      </c>
      <c r="N106" s="50">
        <f t="shared" si="3"/>
        <v>0.55431054196203977</v>
      </c>
      <c r="O106" s="50">
        <f t="shared" si="4"/>
        <v>1.8040429042904291</v>
      </c>
    </row>
    <row r="107" spans="1:15" x14ac:dyDescent="0.3">
      <c r="A107" s="51">
        <v>0.71999999999999897</v>
      </c>
      <c r="B107" s="17">
        <v>0.34</v>
      </c>
      <c r="J107" s="41">
        <v>29.5</v>
      </c>
      <c r="K107" s="48">
        <v>0.4924</v>
      </c>
      <c r="L107" s="41">
        <v>29.5</v>
      </c>
      <c r="M107" s="49">
        <v>0.87029999999999996</v>
      </c>
      <c r="N107" s="50">
        <f t="shared" si="3"/>
        <v>0.56578191428243141</v>
      </c>
      <c r="O107" s="50">
        <f t="shared" si="4"/>
        <v>1.7674654752233956</v>
      </c>
    </row>
    <row r="108" spans="1:15" x14ac:dyDescent="0.3">
      <c r="A108" s="54">
        <v>0.72999999999999898</v>
      </c>
      <c r="B108" s="17">
        <v>0.34</v>
      </c>
      <c r="J108" s="41">
        <v>30</v>
      </c>
      <c r="K108" s="48">
        <v>0.5</v>
      </c>
      <c r="L108" s="41">
        <v>30</v>
      </c>
      <c r="M108" s="49">
        <v>0.86599999999999999</v>
      </c>
      <c r="N108" s="50">
        <f t="shared" si="3"/>
        <v>0.57736720554272514</v>
      </c>
      <c r="O108" s="50">
        <f t="shared" si="4"/>
        <v>1.732</v>
      </c>
    </row>
    <row r="109" spans="1:15" x14ac:dyDescent="0.3">
      <c r="A109" s="51">
        <v>0.73999999999999899</v>
      </c>
      <c r="B109" s="17">
        <v>0.34</v>
      </c>
      <c r="J109" s="41">
        <v>30.5</v>
      </c>
      <c r="K109" s="48">
        <v>0.50749999999999995</v>
      </c>
      <c r="L109" s="41">
        <v>30.5</v>
      </c>
      <c r="M109" s="49">
        <v>0.86160000000000003</v>
      </c>
      <c r="N109" s="50">
        <f t="shared" si="3"/>
        <v>0.58902042711234903</v>
      </c>
      <c r="O109" s="50">
        <f t="shared" si="4"/>
        <v>1.6977339901477835</v>
      </c>
    </row>
    <row r="110" spans="1:15" x14ac:dyDescent="0.3">
      <c r="A110" s="54">
        <v>0.75</v>
      </c>
      <c r="B110" s="53">
        <v>0.35</v>
      </c>
      <c r="J110" s="41">
        <v>31</v>
      </c>
      <c r="K110" s="48">
        <v>0.51500000000000001</v>
      </c>
      <c r="L110" s="41">
        <v>31</v>
      </c>
      <c r="M110" s="49">
        <v>0.85709999999999997</v>
      </c>
      <c r="N110" s="50">
        <f t="shared" si="3"/>
        <v>0.60086337650215849</v>
      </c>
      <c r="O110" s="50">
        <f t="shared" si="4"/>
        <v>1.6642718446601941</v>
      </c>
    </row>
    <row r="111" spans="1:15" x14ac:dyDescent="0.3">
      <c r="A111" s="51">
        <v>0.76000000000000101</v>
      </c>
      <c r="B111" s="53">
        <v>0.35</v>
      </c>
      <c r="J111" s="41">
        <v>31.5</v>
      </c>
      <c r="K111" s="48">
        <v>0.52249000000000001</v>
      </c>
      <c r="L111" s="41">
        <v>31.5</v>
      </c>
      <c r="M111" s="49">
        <v>0.85260000000000002</v>
      </c>
      <c r="N111" s="50">
        <f t="shared" si="3"/>
        <v>0.61281961060286183</v>
      </c>
      <c r="O111" s="50">
        <f t="shared" si="4"/>
        <v>1.6318015655802025</v>
      </c>
    </row>
    <row r="112" spans="1:15" x14ac:dyDescent="0.3">
      <c r="A112" s="54">
        <v>0.77000000000000202</v>
      </c>
      <c r="B112" s="53">
        <v>0.35</v>
      </c>
      <c r="J112" s="41">
        <v>32</v>
      </c>
      <c r="K112" s="48">
        <v>0.52990000000000004</v>
      </c>
      <c r="L112" s="41">
        <v>32</v>
      </c>
      <c r="M112" s="49">
        <v>0.84799999999999998</v>
      </c>
      <c r="N112" s="50">
        <f t="shared" si="3"/>
        <v>0.62488207547169816</v>
      </c>
      <c r="O112" s="50">
        <f t="shared" si="4"/>
        <v>1.600301943762974</v>
      </c>
    </row>
    <row r="113" spans="1:15" x14ac:dyDescent="0.3">
      <c r="A113" s="51">
        <v>0.78000000000000302</v>
      </c>
      <c r="B113" s="53">
        <v>0.35</v>
      </c>
      <c r="J113" s="41">
        <v>32.5</v>
      </c>
      <c r="K113" s="48">
        <v>0.53720000000000001</v>
      </c>
      <c r="L113" s="41">
        <v>32.5</v>
      </c>
      <c r="M113" s="49">
        <v>0.84330000000000005</v>
      </c>
      <c r="N113" s="50">
        <f t="shared" si="3"/>
        <v>0.63702122613542034</v>
      </c>
      <c r="O113" s="50">
        <f t="shared" si="4"/>
        <v>1.569806403574088</v>
      </c>
    </row>
    <row r="114" spans="1:15" x14ac:dyDescent="0.3">
      <c r="A114" s="54">
        <v>0.79000000000000403</v>
      </c>
      <c r="B114" s="53">
        <v>0.35</v>
      </c>
      <c r="J114" s="41">
        <v>33</v>
      </c>
      <c r="K114" s="48">
        <v>0.54459999999999997</v>
      </c>
      <c r="L114" s="41">
        <v>33</v>
      </c>
      <c r="M114" s="49">
        <v>0.83860000000000001</v>
      </c>
      <c r="N114" s="50">
        <f t="shared" si="3"/>
        <v>0.64941569282136891</v>
      </c>
      <c r="O114" s="50">
        <f t="shared" si="4"/>
        <v>1.5398457583547558</v>
      </c>
    </row>
    <row r="115" spans="1:15" x14ac:dyDescent="0.3">
      <c r="A115" s="51">
        <v>0.80000000000000504</v>
      </c>
      <c r="B115" s="53">
        <v>0.35</v>
      </c>
      <c r="J115" s="41">
        <v>33.5</v>
      </c>
      <c r="K115" s="48">
        <v>0.55189999999999995</v>
      </c>
      <c r="L115" s="41">
        <v>33.5</v>
      </c>
      <c r="M115" s="49">
        <v>0.83379999999999999</v>
      </c>
      <c r="N115" s="50">
        <f t="shared" si="3"/>
        <v>0.6619093307747661</v>
      </c>
      <c r="O115" s="50">
        <f t="shared" si="4"/>
        <v>1.5107809385758291</v>
      </c>
    </row>
    <row r="116" spans="1:15" x14ac:dyDescent="0.3">
      <c r="A116" s="54">
        <v>0.81000000000000605</v>
      </c>
      <c r="B116" s="53">
        <v>0.35</v>
      </c>
      <c r="J116" s="41">
        <v>34</v>
      </c>
      <c r="K116" s="48">
        <v>0.55918999999999996</v>
      </c>
      <c r="L116" s="41">
        <v>34</v>
      </c>
      <c r="M116" s="49">
        <v>0.82899999999999996</v>
      </c>
      <c r="N116" s="50">
        <f t="shared" ref="N116:N179" si="5">K116/M116</f>
        <v>0.67453558504221955</v>
      </c>
      <c r="O116" s="50">
        <f t="shared" ref="O116:O179" si="6">M116/K116</f>
        <v>1.4825014753482717</v>
      </c>
    </row>
    <row r="117" spans="1:15" x14ac:dyDescent="0.3">
      <c r="A117" s="51">
        <v>0.82000000000000695</v>
      </c>
      <c r="B117" s="53">
        <v>0.36</v>
      </c>
      <c r="J117" s="41">
        <v>34.5</v>
      </c>
      <c r="K117" s="48">
        <v>0.56640000000000001</v>
      </c>
      <c r="L117" s="41">
        <v>34.5</v>
      </c>
      <c r="M117" s="49">
        <v>0.83409999999999995</v>
      </c>
      <c r="N117" s="50">
        <f t="shared" si="5"/>
        <v>0.6790552691523799</v>
      </c>
      <c r="O117" s="50">
        <f t="shared" si="6"/>
        <v>1.4726341807909604</v>
      </c>
    </row>
    <row r="118" spans="1:15" x14ac:dyDescent="0.3">
      <c r="A118" s="54">
        <v>0.83000000000000795</v>
      </c>
      <c r="B118" s="53">
        <v>0.36</v>
      </c>
      <c r="J118" s="41">
        <v>35</v>
      </c>
      <c r="K118" s="48">
        <v>0.57299999999999995</v>
      </c>
      <c r="L118" s="41">
        <v>35</v>
      </c>
      <c r="M118" s="49">
        <v>0.81910000000000005</v>
      </c>
      <c r="N118" s="50">
        <f t="shared" si="5"/>
        <v>0.69954828470272246</v>
      </c>
      <c r="O118" s="50">
        <f t="shared" si="6"/>
        <v>1.4294938917975568</v>
      </c>
    </row>
    <row r="119" spans="1:15" x14ac:dyDescent="0.3">
      <c r="A119" s="51">
        <v>0.84000000000000896</v>
      </c>
      <c r="B119" s="53">
        <v>0.36</v>
      </c>
      <c r="J119" s="41">
        <v>35.5</v>
      </c>
      <c r="K119" s="48">
        <v>0.58069999999999999</v>
      </c>
      <c r="L119" s="41">
        <v>35.5</v>
      </c>
      <c r="M119" s="49">
        <v>0.81410000000000005</v>
      </c>
      <c r="N119" s="50">
        <f t="shared" si="5"/>
        <v>0.71330303402530393</v>
      </c>
      <c r="O119" s="50">
        <f t="shared" si="6"/>
        <v>1.4019287067332531</v>
      </c>
    </row>
    <row r="120" spans="1:15" x14ac:dyDescent="0.3">
      <c r="A120" s="54">
        <v>0.85000000000000997</v>
      </c>
      <c r="B120" s="53">
        <v>0.36</v>
      </c>
      <c r="J120" s="41">
        <v>36</v>
      </c>
      <c r="K120" s="48">
        <v>0.5877</v>
      </c>
      <c r="L120" s="41">
        <v>36</v>
      </c>
      <c r="M120" s="49">
        <v>0.80900000000000005</v>
      </c>
      <c r="N120" s="50">
        <f t="shared" si="5"/>
        <v>0.72645241038318908</v>
      </c>
      <c r="O120" s="50">
        <f t="shared" si="6"/>
        <v>1.3765526629232603</v>
      </c>
    </row>
    <row r="121" spans="1:15" x14ac:dyDescent="0.3">
      <c r="A121" s="51">
        <v>0.86000000000001098</v>
      </c>
      <c r="B121" s="53">
        <v>0.36</v>
      </c>
      <c r="J121" s="41">
        <v>36.5</v>
      </c>
      <c r="K121" s="48">
        <v>0.5948</v>
      </c>
      <c r="L121" s="41">
        <v>36.5</v>
      </c>
      <c r="M121" s="49">
        <v>0.80379999999999996</v>
      </c>
      <c r="N121" s="50">
        <f t="shared" si="5"/>
        <v>0.73998507091316246</v>
      </c>
      <c r="O121" s="50">
        <f t="shared" si="6"/>
        <v>1.3513786146603899</v>
      </c>
    </row>
    <row r="122" spans="1:15" x14ac:dyDescent="0.3">
      <c r="A122" s="54">
        <v>0.87000000000001199</v>
      </c>
      <c r="B122" s="53">
        <v>0.36</v>
      </c>
      <c r="J122" s="41">
        <v>37</v>
      </c>
      <c r="K122" s="48">
        <v>0.6018</v>
      </c>
      <c r="L122" s="41">
        <v>37</v>
      </c>
      <c r="M122" s="49">
        <v>0.79859999999999998</v>
      </c>
      <c r="N122" s="50">
        <f t="shared" si="5"/>
        <v>0.75356874530428253</v>
      </c>
      <c r="O122" s="50">
        <f t="shared" si="6"/>
        <v>1.3270189431704884</v>
      </c>
    </row>
    <row r="123" spans="1:15" x14ac:dyDescent="0.3">
      <c r="A123" s="51">
        <v>0.88000000000001299</v>
      </c>
      <c r="B123" s="53">
        <v>0.37</v>
      </c>
      <c r="J123" s="41">
        <v>37.5</v>
      </c>
      <c r="K123" s="48">
        <v>0.60870000000000002</v>
      </c>
      <c r="L123" s="41">
        <v>37.5</v>
      </c>
      <c r="M123" s="49">
        <v>0.79330000000000001</v>
      </c>
      <c r="N123" s="50">
        <f t="shared" si="5"/>
        <v>0.76730114710702135</v>
      </c>
      <c r="O123" s="50">
        <f t="shared" si="6"/>
        <v>1.3032692623624116</v>
      </c>
    </row>
    <row r="124" spans="1:15" x14ac:dyDescent="0.3">
      <c r="A124" s="54">
        <v>0.890000000000014</v>
      </c>
      <c r="B124" s="53">
        <v>0.37</v>
      </c>
      <c r="J124" s="41">
        <v>38</v>
      </c>
      <c r="K124" s="48">
        <v>0.61565999999999999</v>
      </c>
      <c r="L124" s="41">
        <v>38</v>
      </c>
      <c r="M124" s="49">
        <v>0.78800000000000003</v>
      </c>
      <c r="N124" s="50">
        <f t="shared" si="5"/>
        <v>0.78129441624365481</v>
      </c>
      <c r="O124" s="50">
        <f t="shared" si="6"/>
        <v>1.2799272325634279</v>
      </c>
    </row>
    <row r="125" spans="1:15" x14ac:dyDescent="0.3">
      <c r="A125" s="51">
        <v>0.90000000000001501</v>
      </c>
      <c r="B125" s="53">
        <v>0.37</v>
      </c>
      <c r="J125" s="41">
        <v>38.5</v>
      </c>
      <c r="K125" s="48">
        <v>0.62250000000000005</v>
      </c>
      <c r="L125" s="41">
        <v>38.5</v>
      </c>
      <c r="M125" s="49">
        <v>0.78259999999999996</v>
      </c>
      <c r="N125" s="50">
        <f t="shared" si="5"/>
        <v>0.79542550472783047</v>
      </c>
      <c r="O125" s="50">
        <f t="shared" si="6"/>
        <v>1.2571887550200802</v>
      </c>
    </row>
    <row r="126" spans="1:15" x14ac:dyDescent="0.3">
      <c r="A126" s="54">
        <v>0.91000000000001602</v>
      </c>
      <c r="B126" s="53">
        <v>0.37</v>
      </c>
      <c r="J126" s="41">
        <v>39</v>
      </c>
      <c r="K126" s="48">
        <v>0.62929999999999997</v>
      </c>
      <c r="L126" s="41">
        <v>39</v>
      </c>
      <c r="M126" s="49">
        <v>0.77710000000000001</v>
      </c>
      <c r="N126" s="50">
        <f t="shared" si="5"/>
        <v>0.80980568781366613</v>
      </c>
      <c r="O126" s="50">
        <f t="shared" si="6"/>
        <v>1.2348641347529001</v>
      </c>
    </row>
    <row r="127" spans="1:15" x14ac:dyDescent="0.3">
      <c r="A127" s="51">
        <v>0.92000000000001703</v>
      </c>
      <c r="B127" s="53">
        <v>0.37</v>
      </c>
      <c r="J127" s="41">
        <v>39.5</v>
      </c>
      <c r="K127" s="48">
        <v>0.63600000000000001</v>
      </c>
      <c r="L127" s="41">
        <v>39.5</v>
      </c>
      <c r="M127" s="49">
        <v>0.77159999999999995</v>
      </c>
      <c r="N127" s="50">
        <f t="shared" si="5"/>
        <v>0.82426127527216175</v>
      </c>
      <c r="O127" s="50">
        <f t="shared" si="6"/>
        <v>1.2132075471698112</v>
      </c>
    </row>
    <row r="128" spans="1:15" x14ac:dyDescent="0.3">
      <c r="A128" s="54">
        <v>0.93000000000001803</v>
      </c>
      <c r="B128" s="53">
        <v>0.37</v>
      </c>
      <c r="J128" s="41">
        <v>40</v>
      </c>
      <c r="K128" s="48">
        <v>0.64300000000000002</v>
      </c>
      <c r="L128" s="41">
        <v>40</v>
      </c>
      <c r="M128" s="49">
        <v>0.76600000000000001</v>
      </c>
      <c r="N128" s="50">
        <f t="shared" si="5"/>
        <v>0.83942558746736295</v>
      </c>
      <c r="O128" s="50">
        <f t="shared" si="6"/>
        <v>1.1912908242612752</v>
      </c>
    </row>
    <row r="129" spans="1:15" x14ac:dyDescent="0.3">
      <c r="A129" s="51">
        <v>0.94000000000001904</v>
      </c>
      <c r="B129" s="53">
        <v>0.38</v>
      </c>
      <c r="J129" s="41">
        <v>40.5</v>
      </c>
      <c r="K129" s="48">
        <v>0.64939999999999998</v>
      </c>
      <c r="L129" s="41">
        <v>40.5</v>
      </c>
      <c r="M129" s="49">
        <v>0.76039999999999996</v>
      </c>
      <c r="N129" s="50">
        <f t="shared" si="5"/>
        <v>0.85402419779063654</v>
      </c>
      <c r="O129" s="50">
        <f t="shared" si="6"/>
        <v>1.1709270095472744</v>
      </c>
    </row>
    <row r="130" spans="1:15" x14ac:dyDescent="0.3">
      <c r="A130" s="54">
        <v>0.95000000000002005</v>
      </c>
      <c r="B130" s="53">
        <v>0.38</v>
      </c>
      <c r="J130" s="41">
        <v>41</v>
      </c>
      <c r="K130" s="48">
        <v>0.65600000000000003</v>
      </c>
      <c r="L130" s="41">
        <v>41</v>
      </c>
      <c r="M130" s="49">
        <v>0.75470000000000004</v>
      </c>
      <c r="N130" s="50">
        <f t="shared" si="5"/>
        <v>0.86921955744004242</v>
      </c>
      <c r="O130" s="50">
        <f t="shared" si="6"/>
        <v>1.1504573170731707</v>
      </c>
    </row>
    <row r="131" spans="1:15" x14ac:dyDescent="0.3">
      <c r="A131" s="51">
        <v>0.96000000000002095</v>
      </c>
      <c r="B131" s="53">
        <v>0.38</v>
      </c>
      <c r="J131" s="41">
        <v>41.5</v>
      </c>
      <c r="K131" s="48">
        <v>0.66259999999999997</v>
      </c>
      <c r="L131" s="41">
        <v>41.5</v>
      </c>
      <c r="M131" s="49">
        <v>0.74890000000000001</v>
      </c>
      <c r="N131" s="50">
        <f t="shared" si="5"/>
        <v>0.88476432100413938</v>
      </c>
      <c r="O131" s="50">
        <f t="shared" si="6"/>
        <v>1.1302444913975249</v>
      </c>
    </row>
    <row r="132" spans="1:15" x14ac:dyDescent="0.3">
      <c r="A132" s="54">
        <v>0.97000000000002196</v>
      </c>
      <c r="B132" s="53">
        <v>0.38</v>
      </c>
      <c r="J132" s="41">
        <v>42</v>
      </c>
      <c r="K132" s="48">
        <v>0.66910000000000003</v>
      </c>
      <c r="L132" s="41">
        <v>42</v>
      </c>
      <c r="M132" s="49">
        <v>0.74309999999999998</v>
      </c>
      <c r="N132" s="50">
        <f t="shared" si="5"/>
        <v>0.9004171713093797</v>
      </c>
      <c r="O132" s="50">
        <f t="shared" si="6"/>
        <v>1.1105963234195186</v>
      </c>
    </row>
    <row r="133" spans="1:15" x14ac:dyDescent="0.3">
      <c r="A133" s="51">
        <v>0.98000000000002296</v>
      </c>
      <c r="B133" s="53">
        <v>0.38</v>
      </c>
      <c r="J133" s="41">
        <v>42.5</v>
      </c>
      <c r="K133" s="48">
        <v>0.67549999999999999</v>
      </c>
      <c r="L133" s="41">
        <v>42.5</v>
      </c>
      <c r="M133" s="49">
        <v>0.73719999999999997</v>
      </c>
      <c r="N133" s="50">
        <f t="shared" si="5"/>
        <v>0.91630493760173637</v>
      </c>
      <c r="O133" s="50">
        <f t="shared" si="6"/>
        <v>1.091339748334567</v>
      </c>
    </row>
    <row r="134" spans="1:15" x14ac:dyDescent="0.3">
      <c r="A134" s="51">
        <v>0.99000000000002397</v>
      </c>
      <c r="B134" s="53">
        <v>0.38</v>
      </c>
      <c r="J134" s="41">
        <v>43</v>
      </c>
      <c r="K134" s="48">
        <v>0.68198999999999999</v>
      </c>
      <c r="L134" s="41">
        <v>43</v>
      </c>
      <c r="M134" s="49">
        <v>0.73134999999999994</v>
      </c>
      <c r="N134" s="50">
        <f t="shared" si="5"/>
        <v>0.93250837492308747</v>
      </c>
      <c r="O134" s="50">
        <f t="shared" si="6"/>
        <v>1.0723764278068593</v>
      </c>
    </row>
    <row r="135" spans="1:15" x14ac:dyDescent="0.3">
      <c r="A135" s="54">
        <v>1.00000000000002</v>
      </c>
      <c r="B135" s="53">
        <v>0.39</v>
      </c>
      <c r="J135" s="41">
        <v>43.5</v>
      </c>
      <c r="K135" s="48">
        <v>0.68830000000000002</v>
      </c>
      <c r="L135" s="41">
        <v>43.5</v>
      </c>
      <c r="M135" s="49">
        <v>0.72529999999999994</v>
      </c>
      <c r="N135" s="50">
        <f t="shared" si="5"/>
        <v>0.94898662622363172</v>
      </c>
      <c r="O135" s="50">
        <f t="shared" si="6"/>
        <v>1.0537556298125816</v>
      </c>
    </row>
    <row r="136" spans="1:15" x14ac:dyDescent="0.3">
      <c r="A136" s="51">
        <v>1.01000000000003</v>
      </c>
      <c r="B136" s="53">
        <v>0.39</v>
      </c>
      <c r="J136" s="41">
        <v>44</v>
      </c>
      <c r="K136" s="48">
        <v>0.6946</v>
      </c>
      <c r="L136" s="41">
        <v>44</v>
      </c>
      <c r="M136" s="49">
        <v>0.71933000000000002</v>
      </c>
      <c r="N136" s="50">
        <f t="shared" si="5"/>
        <v>0.96562078600920298</v>
      </c>
      <c r="O136" s="50">
        <f t="shared" si="6"/>
        <v>1.0356032248776275</v>
      </c>
    </row>
    <row r="137" spans="1:15" x14ac:dyDescent="0.3">
      <c r="A137" s="54">
        <v>1.02000000000004</v>
      </c>
      <c r="B137" s="53">
        <v>0.39</v>
      </c>
      <c r="J137" s="41">
        <v>44.5</v>
      </c>
      <c r="K137" s="48">
        <v>0.70089999999999997</v>
      </c>
      <c r="L137" s="41">
        <v>44.5</v>
      </c>
      <c r="M137" s="49">
        <v>0.71319999999999995</v>
      </c>
      <c r="N137" s="50">
        <f t="shared" si="5"/>
        <v>0.98275378575434669</v>
      </c>
      <c r="O137" s="50">
        <f t="shared" si="6"/>
        <v>1.0175488657440432</v>
      </c>
    </row>
    <row r="138" spans="1:15" x14ac:dyDescent="0.3">
      <c r="A138" s="51">
        <v>1.03000000000005</v>
      </c>
      <c r="B138" s="53">
        <v>0.39</v>
      </c>
      <c r="J138" s="41">
        <v>45</v>
      </c>
      <c r="K138" s="48">
        <v>0.70699999999999996</v>
      </c>
      <c r="L138" s="41">
        <v>45</v>
      </c>
      <c r="M138" s="49">
        <v>0.70709999999999995</v>
      </c>
      <c r="N138" s="50">
        <f t="shared" si="5"/>
        <v>0.99985857728751237</v>
      </c>
      <c r="O138" s="50">
        <f t="shared" si="6"/>
        <v>1.0001414427157</v>
      </c>
    </row>
    <row r="139" spans="1:15" x14ac:dyDescent="0.3">
      <c r="A139" s="54">
        <v>1.04000000000006</v>
      </c>
      <c r="B139" s="53">
        <v>0.39</v>
      </c>
      <c r="J139" s="41">
        <v>45.5</v>
      </c>
      <c r="K139" s="48">
        <v>0.71319999999999995</v>
      </c>
      <c r="L139" s="41">
        <v>45.5</v>
      </c>
      <c r="M139" s="49">
        <v>0.70089999999999997</v>
      </c>
      <c r="N139" s="50">
        <f t="shared" si="5"/>
        <v>1.0175488657440432</v>
      </c>
      <c r="O139" s="50">
        <f t="shared" si="6"/>
        <v>0.98275378575434669</v>
      </c>
    </row>
    <row r="140" spans="1:15" x14ac:dyDescent="0.3">
      <c r="A140" s="51">
        <v>1.05000000000007</v>
      </c>
      <c r="B140" s="53">
        <v>0.39</v>
      </c>
      <c r="J140" s="41">
        <v>46</v>
      </c>
      <c r="K140" s="48">
        <v>0.71930000000000005</v>
      </c>
      <c r="L140" s="41">
        <v>46</v>
      </c>
      <c r="M140" s="49">
        <v>0.6946</v>
      </c>
      <c r="N140" s="50">
        <f t="shared" si="5"/>
        <v>1.0355600345522604</v>
      </c>
      <c r="O140" s="50">
        <f t="shared" si="6"/>
        <v>0.96566105936326974</v>
      </c>
    </row>
    <row r="141" spans="1:15" x14ac:dyDescent="0.3">
      <c r="A141" s="54">
        <v>1.06000000000008</v>
      </c>
      <c r="B141" s="53">
        <v>0.39</v>
      </c>
      <c r="J141" s="41">
        <v>46.5</v>
      </c>
      <c r="K141" s="48">
        <v>0.72529999999999994</v>
      </c>
      <c r="L141" s="41">
        <v>46.5</v>
      </c>
      <c r="M141" s="49">
        <v>0.68830000000000002</v>
      </c>
      <c r="N141" s="50">
        <f t="shared" si="5"/>
        <v>1.0537556298125816</v>
      </c>
      <c r="O141" s="50">
        <f t="shared" si="6"/>
        <v>0.94898662622363172</v>
      </c>
    </row>
    <row r="142" spans="1:15" x14ac:dyDescent="0.3">
      <c r="A142" s="51">
        <v>1.07000000000009</v>
      </c>
      <c r="B142" s="53">
        <v>0.39</v>
      </c>
      <c r="J142" s="41">
        <v>47</v>
      </c>
      <c r="K142" s="48">
        <v>0.73129999999999995</v>
      </c>
      <c r="L142" s="41">
        <v>47</v>
      </c>
      <c r="M142" s="49">
        <v>0.68198999999999999</v>
      </c>
      <c r="N142" s="50">
        <f t="shared" si="5"/>
        <v>1.0723031129488703</v>
      </c>
      <c r="O142" s="50">
        <f t="shared" si="6"/>
        <v>0.9325721318200465</v>
      </c>
    </row>
    <row r="143" spans="1:15" x14ac:dyDescent="0.3">
      <c r="A143" s="54">
        <v>1.0800000000001</v>
      </c>
      <c r="B143" s="17">
        <v>0.4</v>
      </c>
      <c r="J143" s="41">
        <v>47.5</v>
      </c>
      <c r="K143" s="48">
        <v>0.73719999999999997</v>
      </c>
      <c r="L143" s="41">
        <v>47.5</v>
      </c>
      <c r="M143" s="49">
        <v>0.67559000000000002</v>
      </c>
      <c r="N143" s="50">
        <f t="shared" si="5"/>
        <v>1.0911943634452848</v>
      </c>
      <c r="O143" s="50">
        <f t="shared" si="6"/>
        <v>0.91642702116115038</v>
      </c>
    </row>
    <row r="144" spans="1:15" x14ac:dyDescent="0.3">
      <c r="A144" s="51">
        <v>1.09000000000011</v>
      </c>
      <c r="B144" s="17">
        <v>0.4</v>
      </c>
      <c r="J144" s="41">
        <v>48</v>
      </c>
      <c r="K144" s="48">
        <v>0.74209999999999998</v>
      </c>
      <c r="L144" s="41">
        <v>48</v>
      </c>
      <c r="M144" s="49">
        <v>0.66910000000000003</v>
      </c>
      <c r="N144" s="50">
        <f t="shared" si="5"/>
        <v>1.109101778508444</v>
      </c>
      <c r="O144" s="50">
        <f t="shared" si="6"/>
        <v>0.90163050801778744</v>
      </c>
    </row>
    <row r="145" spans="1:15" x14ac:dyDescent="0.3">
      <c r="A145" s="54">
        <v>1.10000000000012</v>
      </c>
      <c r="B145" s="17">
        <v>0.4</v>
      </c>
      <c r="J145" s="41">
        <v>48.5</v>
      </c>
      <c r="K145" s="48">
        <v>0.74890000000000001</v>
      </c>
      <c r="L145" s="41">
        <v>48.5</v>
      </c>
      <c r="M145" s="49">
        <v>0.66259999999999997</v>
      </c>
      <c r="N145" s="50">
        <f t="shared" si="5"/>
        <v>1.1302444913975249</v>
      </c>
      <c r="O145" s="50">
        <f t="shared" si="6"/>
        <v>0.88476432100413938</v>
      </c>
    </row>
    <row r="146" spans="1:15" x14ac:dyDescent="0.3">
      <c r="A146" s="51">
        <v>1.11000000000013</v>
      </c>
      <c r="B146" s="17">
        <v>0.4</v>
      </c>
      <c r="J146" s="41">
        <v>49</v>
      </c>
      <c r="K146" s="48">
        <v>0.75470000000000004</v>
      </c>
      <c r="L146" s="41">
        <v>49</v>
      </c>
      <c r="M146" s="49">
        <v>0.65600000000000003</v>
      </c>
      <c r="N146" s="50">
        <f t="shared" si="5"/>
        <v>1.1504573170731707</v>
      </c>
      <c r="O146" s="50">
        <f t="shared" si="6"/>
        <v>0.86921955744004242</v>
      </c>
    </row>
    <row r="147" spans="1:15" x14ac:dyDescent="0.3">
      <c r="A147" s="54">
        <v>1.12000000000014</v>
      </c>
      <c r="B147" s="17">
        <v>0.4</v>
      </c>
      <c r="J147" s="41">
        <v>49.5</v>
      </c>
      <c r="K147" s="48">
        <v>0.76039999999999996</v>
      </c>
      <c r="L147" s="41">
        <v>49.5</v>
      </c>
      <c r="M147" s="49">
        <v>0.64944000000000002</v>
      </c>
      <c r="N147" s="50">
        <f t="shared" si="5"/>
        <v>1.1708548903670855</v>
      </c>
      <c r="O147" s="50">
        <f t="shared" si="6"/>
        <v>0.85407680168332467</v>
      </c>
    </row>
    <row r="148" spans="1:15" x14ac:dyDescent="0.3">
      <c r="A148" s="51">
        <v>1.13000000000015</v>
      </c>
      <c r="B148" s="17">
        <v>0.4</v>
      </c>
      <c r="J148" s="41">
        <v>50</v>
      </c>
      <c r="K148" s="48">
        <v>0.76600000000000001</v>
      </c>
      <c r="L148" s="41">
        <v>50</v>
      </c>
      <c r="M148" s="49">
        <v>0.64270000000000005</v>
      </c>
      <c r="N148" s="50">
        <f t="shared" si="5"/>
        <v>1.1918468959078885</v>
      </c>
      <c r="O148" s="50">
        <f t="shared" si="6"/>
        <v>0.83903394255874675</v>
      </c>
    </row>
    <row r="149" spans="1:15" x14ac:dyDescent="0.3">
      <c r="A149" s="54">
        <v>1.14000000000016</v>
      </c>
      <c r="B149" s="17">
        <v>0.4</v>
      </c>
      <c r="J149" s="41">
        <v>50.5</v>
      </c>
      <c r="K149" s="48">
        <v>0.77159999999999995</v>
      </c>
      <c r="L149" s="41">
        <v>50.5</v>
      </c>
      <c r="M149" s="49">
        <v>0.63600000000000001</v>
      </c>
      <c r="N149" s="50">
        <f t="shared" si="5"/>
        <v>1.2132075471698112</v>
      </c>
      <c r="O149" s="50">
        <f t="shared" si="6"/>
        <v>0.82426127527216175</v>
      </c>
    </row>
    <row r="150" spans="1:15" x14ac:dyDescent="0.3">
      <c r="A150" s="51">
        <v>1.15000000000017</v>
      </c>
      <c r="B150" s="17">
        <v>0.4</v>
      </c>
      <c r="J150" s="41">
        <v>51</v>
      </c>
      <c r="K150" s="48">
        <v>0.77710000000000001</v>
      </c>
      <c r="L150" s="41">
        <v>51</v>
      </c>
      <c r="M150" s="49">
        <v>0.62929999999999997</v>
      </c>
      <c r="N150" s="50">
        <f t="shared" si="5"/>
        <v>1.2348641347529001</v>
      </c>
      <c r="O150" s="50">
        <f t="shared" si="6"/>
        <v>0.80980568781366613</v>
      </c>
    </row>
    <row r="151" spans="1:15" x14ac:dyDescent="0.3">
      <c r="A151" s="54">
        <v>1.16000000000018</v>
      </c>
      <c r="B151" s="17">
        <v>0.41</v>
      </c>
      <c r="J151" s="41">
        <v>51.5</v>
      </c>
      <c r="K151" s="48">
        <v>0.78559999999999997</v>
      </c>
      <c r="L151" s="41">
        <v>51.5</v>
      </c>
      <c r="M151" s="49">
        <v>0.62250000000000005</v>
      </c>
      <c r="N151" s="50">
        <f t="shared" si="5"/>
        <v>1.2620080321285139</v>
      </c>
      <c r="O151" s="50">
        <f t="shared" si="6"/>
        <v>0.79238798370672103</v>
      </c>
    </row>
    <row r="152" spans="1:15" x14ac:dyDescent="0.3">
      <c r="A152" s="51">
        <v>1.17000000000019</v>
      </c>
      <c r="B152" s="17">
        <v>0.41</v>
      </c>
      <c r="J152" s="41">
        <v>52</v>
      </c>
      <c r="K152" s="48">
        <v>0.78800000000000003</v>
      </c>
      <c r="L152" s="41">
        <v>52</v>
      </c>
      <c r="M152" s="49">
        <v>0.61565999999999999</v>
      </c>
      <c r="N152" s="50">
        <f t="shared" si="5"/>
        <v>1.2799272325634279</v>
      </c>
      <c r="O152" s="50">
        <f t="shared" si="6"/>
        <v>0.78129441624365481</v>
      </c>
    </row>
    <row r="153" spans="1:15" x14ac:dyDescent="0.3">
      <c r="A153" s="54">
        <v>1.1800000000002</v>
      </c>
      <c r="B153" s="17">
        <v>0.41</v>
      </c>
      <c r="J153" s="41">
        <v>52.5</v>
      </c>
      <c r="K153" s="48">
        <v>0.79330000000000001</v>
      </c>
      <c r="L153" s="41">
        <v>52.5</v>
      </c>
      <c r="M153" s="49">
        <v>0.60870000000000002</v>
      </c>
      <c r="N153" s="50">
        <f t="shared" si="5"/>
        <v>1.3032692623624116</v>
      </c>
      <c r="O153" s="50">
        <f t="shared" si="6"/>
        <v>0.76730114710702135</v>
      </c>
    </row>
    <row r="154" spans="1:15" x14ac:dyDescent="0.3">
      <c r="A154" s="51">
        <v>1.19000000000021</v>
      </c>
      <c r="B154" s="17">
        <v>0.41</v>
      </c>
      <c r="J154" s="41">
        <v>53</v>
      </c>
      <c r="K154" s="48">
        <v>0.79859999999999998</v>
      </c>
      <c r="L154" s="41">
        <v>53</v>
      </c>
      <c r="M154" s="49">
        <v>0.6018</v>
      </c>
      <c r="N154" s="50">
        <f t="shared" si="5"/>
        <v>1.3270189431704884</v>
      </c>
      <c r="O154" s="50">
        <f t="shared" si="6"/>
        <v>0.75356874530428253</v>
      </c>
    </row>
    <row r="155" spans="1:15" x14ac:dyDescent="0.3">
      <c r="A155" s="54">
        <v>1.20000000000022</v>
      </c>
      <c r="B155" s="17">
        <v>0.41</v>
      </c>
      <c r="J155" s="41">
        <v>53.5</v>
      </c>
      <c r="K155" s="48">
        <v>0.80379999999999996</v>
      </c>
      <c r="L155" s="41">
        <v>53.5</v>
      </c>
      <c r="M155" s="49">
        <v>0.5948</v>
      </c>
      <c r="N155" s="50">
        <f t="shared" si="5"/>
        <v>1.3513786146603899</v>
      </c>
      <c r="O155" s="50">
        <f t="shared" si="6"/>
        <v>0.73998507091316246</v>
      </c>
    </row>
    <row r="156" spans="1:15" x14ac:dyDescent="0.3">
      <c r="A156" s="51">
        <v>1.21000000000023</v>
      </c>
      <c r="B156" s="17">
        <v>0.41</v>
      </c>
      <c r="J156" s="41">
        <v>54</v>
      </c>
      <c r="K156" s="48">
        <v>0.80900000000000005</v>
      </c>
      <c r="L156" s="41">
        <v>54</v>
      </c>
      <c r="M156" s="49">
        <v>0.58777999999999997</v>
      </c>
      <c r="N156" s="50">
        <f t="shared" si="5"/>
        <v>1.3763653067474226</v>
      </c>
      <c r="O156" s="50">
        <f t="shared" si="6"/>
        <v>0.72655129789864026</v>
      </c>
    </row>
    <row r="157" spans="1:15" x14ac:dyDescent="0.3">
      <c r="A157" s="54">
        <v>1.22000000000024</v>
      </c>
      <c r="B157" s="17">
        <v>0.41</v>
      </c>
      <c r="J157" s="41">
        <v>54.5</v>
      </c>
      <c r="K157" s="48">
        <v>0.81410000000000005</v>
      </c>
      <c r="L157" s="41">
        <v>54.5</v>
      </c>
      <c r="M157" s="49">
        <v>0.58069999999999999</v>
      </c>
      <c r="N157" s="50">
        <f t="shared" si="5"/>
        <v>1.4019287067332531</v>
      </c>
      <c r="O157" s="50">
        <f t="shared" si="6"/>
        <v>0.71330303402530393</v>
      </c>
    </row>
    <row r="158" spans="1:15" x14ac:dyDescent="0.3">
      <c r="A158" s="51">
        <v>1.23000000000025</v>
      </c>
      <c r="B158" s="17">
        <v>0.41</v>
      </c>
      <c r="J158" s="41">
        <v>55</v>
      </c>
      <c r="K158" s="48">
        <v>0.81899999999999995</v>
      </c>
      <c r="L158" s="41">
        <v>55</v>
      </c>
      <c r="M158" s="49">
        <v>0.57350000000000001</v>
      </c>
      <c r="N158" s="50">
        <f t="shared" si="5"/>
        <v>1.4280732345248472</v>
      </c>
      <c r="O158" s="50">
        <f t="shared" si="6"/>
        <v>0.70024420024420031</v>
      </c>
    </row>
    <row r="159" spans="1:15" x14ac:dyDescent="0.3">
      <c r="A159" s="54">
        <v>1.24000000000026</v>
      </c>
      <c r="B159" s="17">
        <v>0.41</v>
      </c>
      <c r="J159" s="41">
        <v>55.5</v>
      </c>
      <c r="K159" s="48">
        <v>0.82410000000000005</v>
      </c>
      <c r="L159" s="41">
        <v>55.5</v>
      </c>
      <c r="M159" s="49">
        <v>0.56640000000000001</v>
      </c>
      <c r="N159" s="50">
        <f t="shared" si="5"/>
        <v>1.454978813559322</v>
      </c>
      <c r="O159" s="50">
        <f t="shared" si="6"/>
        <v>0.68729523116126678</v>
      </c>
    </row>
    <row r="160" spans="1:15" x14ac:dyDescent="0.3">
      <c r="A160" s="54">
        <v>1.25</v>
      </c>
      <c r="B160" s="53">
        <v>0.42</v>
      </c>
      <c r="J160" s="41">
        <v>56</v>
      </c>
      <c r="K160" s="48">
        <v>0.82899999999999996</v>
      </c>
      <c r="L160" s="41">
        <v>56</v>
      </c>
      <c r="M160" s="49">
        <v>0.55918999999999996</v>
      </c>
      <c r="N160" s="50">
        <f t="shared" si="5"/>
        <v>1.4825014753482717</v>
      </c>
      <c r="O160" s="50">
        <f t="shared" si="6"/>
        <v>0.67453558504221955</v>
      </c>
    </row>
    <row r="161" spans="1:15" x14ac:dyDescent="0.3">
      <c r="A161" s="54">
        <v>1.25999999999974</v>
      </c>
      <c r="B161" s="53">
        <v>0.42</v>
      </c>
      <c r="J161" s="41">
        <v>56.5</v>
      </c>
      <c r="K161" s="48">
        <v>0.83387999999999995</v>
      </c>
      <c r="L161" s="41">
        <v>56.5</v>
      </c>
      <c r="M161" s="49">
        <v>0.55189999999999995</v>
      </c>
      <c r="N161" s="50">
        <f t="shared" si="5"/>
        <v>1.5109258923718065</v>
      </c>
      <c r="O161" s="50">
        <f t="shared" si="6"/>
        <v>0.66184582913608669</v>
      </c>
    </row>
    <row r="162" spans="1:15" x14ac:dyDescent="0.3">
      <c r="A162" s="54">
        <v>1.26999999999948</v>
      </c>
      <c r="B162" s="53">
        <v>0.42</v>
      </c>
      <c r="J162" s="41">
        <v>57</v>
      </c>
      <c r="K162" s="48">
        <v>0.83860000000000001</v>
      </c>
      <c r="L162" s="41">
        <v>57</v>
      </c>
      <c r="M162" s="49">
        <v>0.54459999999999997</v>
      </c>
      <c r="N162" s="50">
        <f t="shared" si="5"/>
        <v>1.5398457583547558</v>
      </c>
      <c r="O162" s="50">
        <f t="shared" si="6"/>
        <v>0.64941569282136891</v>
      </c>
    </row>
    <row r="163" spans="1:15" x14ac:dyDescent="0.3">
      <c r="A163" s="54">
        <v>1.27999999999922</v>
      </c>
      <c r="B163" s="53">
        <v>0.42</v>
      </c>
      <c r="J163" s="41">
        <v>57.5</v>
      </c>
      <c r="K163" s="48">
        <v>0.84338999999999997</v>
      </c>
      <c r="L163" s="41">
        <v>57.5</v>
      </c>
      <c r="M163" s="49">
        <v>0.53720000000000001</v>
      </c>
      <c r="N163" s="50">
        <f t="shared" si="5"/>
        <v>1.5699739389426657</v>
      </c>
      <c r="O163" s="50">
        <f t="shared" si="6"/>
        <v>0.63695324820071386</v>
      </c>
    </row>
    <row r="164" spans="1:15" x14ac:dyDescent="0.3">
      <c r="A164" s="54">
        <v>1.28999999999896</v>
      </c>
      <c r="B164" s="53">
        <v>0.42</v>
      </c>
      <c r="J164" s="41">
        <v>58</v>
      </c>
      <c r="K164" s="48">
        <v>0.84799999999999998</v>
      </c>
      <c r="L164" s="41">
        <v>58</v>
      </c>
      <c r="M164" s="49">
        <v>0.52990000000000004</v>
      </c>
      <c r="N164" s="50">
        <f t="shared" si="5"/>
        <v>1.600301943762974</v>
      </c>
      <c r="O164" s="50">
        <f t="shared" si="6"/>
        <v>0.62488207547169816</v>
      </c>
    </row>
    <row r="165" spans="1:15" x14ac:dyDescent="0.3">
      <c r="A165" s="54">
        <v>1.2999999999987</v>
      </c>
      <c r="B165" s="53">
        <v>0.42</v>
      </c>
      <c r="J165" s="41">
        <v>58.5</v>
      </c>
      <c r="K165" s="48">
        <v>0.85260000000000002</v>
      </c>
      <c r="L165" s="41">
        <v>58.5</v>
      </c>
      <c r="M165" s="49">
        <v>0.52239999999999998</v>
      </c>
      <c r="N165" s="50">
        <f t="shared" si="5"/>
        <v>1.6320826952526801</v>
      </c>
      <c r="O165" s="50">
        <f t="shared" si="6"/>
        <v>0.61271405113769639</v>
      </c>
    </row>
    <row r="166" spans="1:15" x14ac:dyDescent="0.3">
      <c r="A166" s="54">
        <v>1.30999999999844</v>
      </c>
      <c r="B166" s="53">
        <v>0.42</v>
      </c>
      <c r="J166" s="41">
        <v>59</v>
      </c>
      <c r="K166" s="48">
        <v>0.85709999999999997</v>
      </c>
      <c r="L166" s="41">
        <v>59</v>
      </c>
      <c r="M166" s="49">
        <v>0.51500000000000001</v>
      </c>
      <c r="N166" s="50">
        <f t="shared" si="5"/>
        <v>1.6642718446601941</v>
      </c>
      <c r="O166" s="50">
        <f t="shared" si="6"/>
        <v>0.60086337650215849</v>
      </c>
    </row>
    <row r="167" spans="1:15" x14ac:dyDescent="0.3">
      <c r="A167" s="54">
        <v>1.31999999999818</v>
      </c>
      <c r="B167" s="53">
        <v>0.42</v>
      </c>
      <c r="J167" s="41">
        <v>59.5</v>
      </c>
      <c r="K167" s="48">
        <v>0.86160000000000003</v>
      </c>
      <c r="L167" s="41">
        <v>59.5</v>
      </c>
      <c r="M167" s="49">
        <v>0.50749999999999995</v>
      </c>
      <c r="N167" s="50">
        <f t="shared" si="5"/>
        <v>1.6977339901477835</v>
      </c>
      <c r="O167" s="50">
        <f t="shared" si="6"/>
        <v>0.58902042711234903</v>
      </c>
    </row>
    <row r="168" spans="1:15" x14ac:dyDescent="0.3">
      <c r="A168" s="54">
        <v>1.32999999999792</v>
      </c>
      <c r="B168" s="53">
        <v>0.43</v>
      </c>
      <c r="J168" s="41">
        <v>60</v>
      </c>
      <c r="K168" s="48">
        <v>0.86599999999999999</v>
      </c>
      <c r="L168" s="41">
        <v>60</v>
      </c>
      <c r="M168" s="49">
        <v>0.5</v>
      </c>
      <c r="N168" s="50">
        <f t="shared" si="5"/>
        <v>1.732</v>
      </c>
      <c r="O168" s="50">
        <f t="shared" si="6"/>
        <v>0.57736720554272514</v>
      </c>
    </row>
    <row r="169" spans="1:15" x14ac:dyDescent="0.3">
      <c r="A169" s="54">
        <v>1.33999999999766</v>
      </c>
      <c r="B169" s="53">
        <v>0.43</v>
      </c>
      <c r="J169" s="41">
        <v>60.5</v>
      </c>
      <c r="K169" s="48">
        <v>0.87029999999999996</v>
      </c>
      <c r="L169" s="41">
        <v>60.5</v>
      </c>
      <c r="M169" s="49">
        <v>0.4924</v>
      </c>
      <c r="N169" s="50">
        <f t="shared" si="5"/>
        <v>1.7674654752233956</v>
      </c>
      <c r="O169" s="50">
        <f t="shared" si="6"/>
        <v>0.56578191428243141</v>
      </c>
    </row>
    <row r="170" spans="1:15" x14ac:dyDescent="0.3">
      <c r="A170" s="54">
        <v>1.3499999999973999</v>
      </c>
      <c r="B170" s="53">
        <v>0.43</v>
      </c>
      <c r="J170" s="41">
        <v>61</v>
      </c>
      <c r="K170" s="48">
        <v>0.87460000000000004</v>
      </c>
      <c r="L170" s="41">
        <v>61</v>
      </c>
      <c r="M170" s="49">
        <v>0.48480000000000001</v>
      </c>
      <c r="N170" s="50">
        <f t="shared" si="5"/>
        <v>1.8040429042904291</v>
      </c>
      <c r="O170" s="50">
        <f t="shared" si="6"/>
        <v>0.55431054196203977</v>
      </c>
    </row>
    <row r="171" spans="1:15" x14ac:dyDescent="0.3">
      <c r="A171" s="54">
        <v>1.3599999999971399</v>
      </c>
      <c r="B171" s="53">
        <v>0.43</v>
      </c>
      <c r="J171" s="41">
        <v>61.5</v>
      </c>
      <c r="K171" s="48">
        <v>0.87880000000000003</v>
      </c>
      <c r="L171" s="41">
        <v>61.5</v>
      </c>
      <c r="M171" s="49">
        <v>0.47710000000000002</v>
      </c>
      <c r="N171" s="50">
        <f t="shared" si="5"/>
        <v>1.8419618528610353</v>
      </c>
      <c r="O171" s="50">
        <f t="shared" si="6"/>
        <v>0.54289940828402372</v>
      </c>
    </row>
    <row r="172" spans="1:15" x14ac:dyDescent="0.3">
      <c r="A172" s="54">
        <v>1.3699999999968799</v>
      </c>
      <c r="B172" s="53">
        <v>0.43</v>
      </c>
      <c r="J172" s="41">
        <v>62</v>
      </c>
      <c r="K172" s="48">
        <v>0.88290000000000002</v>
      </c>
      <c r="L172" s="41">
        <v>62</v>
      </c>
      <c r="M172" s="49">
        <v>0.46956999999999999</v>
      </c>
      <c r="N172" s="50">
        <f t="shared" si="5"/>
        <v>1.880230849500607</v>
      </c>
      <c r="O172" s="50">
        <f t="shared" si="6"/>
        <v>0.53184958658964776</v>
      </c>
    </row>
    <row r="173" spans="1:15" x14ac:dyDescent="0.3">
      <c r="A173" s="54">
        <v>1.3799999999966199</v>
      </c>
      <c r="B173" s="53">
        <v>0.43</v>
      </c>
      <c r="J173" s="41">
        <v>62.5</v>
      </c>
      <c r="K173" s="48">
        <v>0.88700000000000001</v>
      </c>
      <c r="L173" s="41">
        <v>62.5</v>
      </c>
      <c r="M173" s="49">
        <v>0.4617</v>
      </c>
      <c r="N173" s="50">
        <f t="shared" si="5"/>
        <v>1.9211609270088803</v>
      </c>
      <c r="O173" s="50">
        <f t="shared" si="6"/>
        <v>0.52051860202931233</v>
      </c>
    </row>
    <row r="174" spans="1:15" x14ac:dyDescent="0.3">
      <c r="A174" s="54">
        <v>1.3899999999963599</v>
      </c>
      <c r="B174" s="53">
        <v>0.43</v>
      </c>
      <c r="J174" s="41">
        <v>63</v>
      </c>
      <c r="K174" s="48">
        <v>0.89100000000000001</v>
      </c>
      <c r="L174" s="41">
        <v>63</v>
      </c>
      <c r="M174" s="49">
        <v>0.45399</v>
      </c>
      <c r="N174" s="50">
        <f t="shared" si="5"/>
        <v>1.9625982951166325</v>
      </c>
      <c r="O174" s="50">
        <f t="shared" si="6"/>
        <v>0.5095286195286195</v>
      </c>
    </row>
    <row r="175" spans="1:15" x14ac:dyDescent="0.3">
      <c r="A175" s="54">
        <v>1.3999999999960999</v>
      </c>
      <c r="B175" s="53">
        <v>0.43</v>
      </c>
      <c r="J175" s="41">
        <v>63.5</v>
      </c>
      <c r="K175" s="48">
        <v>0.89490000000000003</v>
      </c>
      <c r="L175" s="41">
        <v>63.5</v>
      </c>
      <c r="M175" s="49">
        <v>0.4461</v>
      </c>
      <c r="N175" s="50">
        <f t="shared" si="5"/>
        <v>2.0060524546065905</v>
      </c>
      <c r="O175" s="50">
        <f t="shared" si="6"/>
        <v>0.49849145155883334</v>
      </c>
    </row>
    <row r="176" spans="1:15" x14ac:dyDescent="0.3">
      <c r="A176" s="54">
        <v>1.4099999999958399</v>
      </c>
      <c r="B176" s="53">
        <v>0.44</v>
      </c>
      <c r="J176" s="41">
        <v>64</v>
      </c>
      <c r="K176" s="48">
        <v>0.89870000000000005</v>
      </c>
      <c r="L176" s="41">
        <v>64</v>
      </c>
      <c r="M176" s="49">
        <v>0.43826999999999999</v>
      </c>
      <c r="N176" s="50">
        <f t="shared" si="5"/>
        <v>2.0505624386793531</v>
      </c>
      <c r="O176" s="50">
        <f t="shared" si="6"/>
        <v>0.48767108044953816</v>
      </c>
    </row>
    <row r="177" spans="1:15" x14ac:dyDescent="0.3">
      <c r="A177" s="54">
        <v>1.4199999999955799</v>
      </c>
      <c r="B177" s="53">
        <v>0.44</v>
      </c>
      <c r="J177" s="41">
        <v>64.5</v>
      </c>
      <c r="K177" s="48">
        <v>0.90258000000000005</v>
      </c>
      <c r="L177" s="41">
        <v>64.5</v>
      </c>
      <c r="M177" s="49">
        <v>0.43049999999999999</v>
      </c>
      <c r="N177" s="50">
        <f t="shared" si="5"/>
        <v>2.0965853658536586</v>
      </c>
      <c r="O177" s="50">
        <f t="shared" si="6"/>
        <v>0.47696603071195903</v>
      </c>
    </row>
    <row r="178" spans="1:15" x14ac:dyDescent="0.3">
      <c r="A178" s="54">
        <v>1.4299999999953199</v>
      </c>
      <c r="B178" s="53">
        <v>0.44</v>
      </c>
      <c r="J178" s="41">
        <v>65</v>
      </c>
      <c r="K178" s="48">
        <v>0.90629999999999999</v>
      </c>
      <c r="L178" s="41">
        <v>65</v>
      </c>
      <c r="M178" s="49">
        <v>0.42259999999999998</v>
      </c>
      <c r="N178" s="50">
        <f t="shared" si="5"/>
        <v>2.1445811642214863</v>
      </c>
      <c r="O178" s="50">
        <f t="shared" si="6"/>
        <v>0.46629151495089921</v>
      </c>
    </row>
    <row r="179" spans="1:15" x14ac:dyDescent="0.3">
      <c r="A179" s="54">
        <v>1.4399999999950599</v>
      </c>
      <c r="B179" s="53">
        <v>0.44</v>
      </c>
      <c r="J179" s="41">
        <v>65.5</v>
      </c>
      <c r="K179" s="48">
        <v>0.90990000000000004</v>
      </c>
      <c r="L179" s="41">
        <v>65.5</v>
      </c>
      <c r="M179" s="49">
        <v>0.41460000000000002</v>
      </c>
      <c r="N179" s="50">
        <f t="shared" si="5"/>
        <v>2.1946454413892909</v>
      </c>
      <c r="O179" s="50">
        <f t="shared" si="6"/>
        <v>0.45565446752390371</v>
      </c>
    </row>
    <row r="180" spans="1:15" x14ac:dyDescent="0.3">
      <c r="A180" s="54">
        <v>1.4499999999947999</v>
      </c>
      <c r="B180" s="53">
        <v>0.44</v>
      </c>
      <c r="J180" s="41">
        <v>66</v>
      </c>
      <c r="K180" s="48">
        <v>0.91349999999999998</v>
      </c>
      <c r="L180" s="41">
        <v>66</v>
      </c>
      <c r="M180" s="49">
        <v>0.40670000000000001</v>
      </c>
      <c r="N180" s="50">
        <f t="shared" ref="N180:N227" si="7">K180/M180</f>
        <v>2.246127366609294</v>
      </c>
      <c r="O180" s="50">
        <f t="shared" ref="O180:O228" si="8">M180/K180</f>
        <v>0.44521072796934869</v>
      </c>
    </row>
    <row r="181" spans="1:15" x14ac:dyDescent="0.3">
      <c r="A181" s="54">
        <v>1.4599999999945401</v>
      </c>
      <c r="B181" s="53">
        <v>0.44</v>
      </c>
      <c r="J181" s="41">
        <v>66.5</v>
      </c>
      <c r="K181" s="48">
        <v>0.91700000000000004</v>
      </c>
      <c r="L181" s="41">
        <v>66.5</v>
      </c>
      <c r="M181" s="49">
        <v>0.3987</v>
      </c>
      <c r="N181" s="50">
        <f t="shared" si="7"/>
        <v>2.2999749184850766</v>
      </c>
      <c r="O181" s="50">
        <f t="shared" si="8"/>
        <v>0.43478735005452562</v>
      </c>
    </row>
    <row r="182" spans="1:15" x14ac:dyDescent="0.3">
      <c r="A182" s="54">
        <v>1.4699999999942801</v>
      </c>
      <c r="B182" s="53">
        <v>0.44</v>
      </c>
      <c r="J182" s="41">
        <v>67</v>
      </c>
      <c r="K182" s="48">
        <v>0.92049999999999998</v>
      </c>
      <c r="L182" s="41">
        <v>67</v>
      </c>
      <c r="M182" s="49">
        <v>0.39069999999999999</v>
      </c>
      <c r="N182" s="50">
        <f t="shared" si="7"/>
        <v>2.3560276426926032</v>
      </c>
      <c r="O182" s="50">
        <f t="shared" si="8"/>
        <v>0.42444323737099404</v>
      </c>
    </row>
    <row r="183" spans="1:15" x14ac:dyDescent="0.3">
      <c r="A183" s="54">
        <v>1.4799999999940201</v>
      </c>
      <c r="B183" s="53">
        <v>0.44</v>
      </c>
      <c r="J183" s="41">
        <v>67.5</v>
      </c>
      <c r="K183" s="48">
        <v>0.92379999999999995</v>
      </c>
      <c r="L183" s="41">
        <v>67.5</v>
      </c>
      <c r="M183" s="49">
        <v>0.38268000000000002</v>
      </c>
      <c r="N183" s="50">
        <f t="shared" si="7"/>
        <v>2.4140273858053725</v>
      </c>
      <c r="O183" s="50">
        <f t="shared" si="8"/>
        <v>0.41424550768564627</v>
      </c>
    </row>
    <row r="184" spans="1:15" x14ac:dyDescent="0.3">
      <c r="A184" s="54">
        <v>1.4899999999937601</v>
      </c>
      <c r="B184" s="53">
        <v>0.44</v>
      </c>
      <c r="J184" s="41">
        <v>68</v>
      </c>
      <c r="K184" s="48">
        <v>0.92710000000000004</v>
      </c>
      <c r="L184" s="41">
        <v>68</v>
      </c>
      <c r="M184" s="49">
        <v>0.37459999999999999</v>
      </c>
      <c r="N184" s="50">
        <f t="shared" si="7"/>
        <v>2.4749065670048052</v>
      </c>
      <c r="O184" s="50">
        <f t="shared" si="8"/>
        <v>0.40405565742638333</v>
      </c>
    </row>
    <row r="185" spans="1:15" x14ac:dyDescent="0.3">
      <c r="A185" s="54">
        <v>1.5</v>
      </c>
      <c r="B185" s="53">
        <v>0.45</v>
      </c>
      <c r="J185" s="41">
        <v>68.5</v>
      </c>
      <c r="K185" s="48">
        <v>0.9304</v>
      </c>
      <c r="L185" s="41">
        <v>68.5</v>
      </c>
      <c r="M185" s="49">
        <v>0.81910000000000005</v>
      </c>
      <c r="N185" s="50">
        <f t="shared" si="7"/>
        <v>1.1358808448296911</v>
      </c>
      <c r="O185" s="50">
        <f t="shared" si="8"/>
        <v>0.88037403267411873</v>
      </c>
    </row>
    <row r="186" spans="1:15" x14ac:dyDescent="0.3">
      <c r="A186" s="54">
        <v>1.5100000000062399</v>
      </c>
      <c r="B186" s="53">
        <v>0.45</v>
      </c>
      <c r="J186" s="41">
        <v>69</v>
      </c>
      <c r="K186" s="48">
        <v>0.9335</v>
      </c>
      <c r="L186" s="41">
        <v>69</v>
      </c>
      <c r="M186" s="49">
        <v>0.35836000000000001</v>
      </c>
      <c r="N186" s="50">
        <f t="shared" si="7"/>
        <v>2.6049224243777207</v>
      </c>
      <c r="O186" s="50">
        <f t="shared" si="8"/>
        <v>0.38388859132297803</v>
      </c>
    </row>
    <row r="187" spans="1:15" x14ac:dyDescent="0.3">
      <c r="A187" s="54">
        <v>1.52000000001248</v>
      </c>
      <c r="B187" s="53">
        <v>0.45</v>
      </c>
      <c r="J187" s="41">
        <v>69.5</v>
      </c>
      <c r="K187" s="48">
        <v>0.93659999999999999</v>
      </c>
      <c r="L187" s="41">
        <v>69.5</v>
      </c>
      <c r="M187" s="49">
        <v>0.35020000000000001</v>
      </c>
      <c r="N187" s="50">
        <f t="shared" si="7"/>
        <v>2.6744717304397487</v>
      </c>
      <c r="O187" s="50">
        <f t="shared" si="8"/>
        <v>0.37390561605808242</v>
      </c>
    </row>
    <row r="188" spans="1:15" x14ac:dyDescent="0.3">
      <c r="A188" s="54">
        <v>1.5300000000187199</v>
      </c>
      <c r="B188" s="53">
        <v>0.45</v>
      </c>
      <c r="J188" s="41">
        <v>70</v>
      </c>
      <c r="K188" s="48">
        <v>0.93959999999999999</v>
      </c>
      <c r="L188" s="41">
        <v>70</v>
      </c>
      <c r="M188" s="49">
        <v>0.34200000000000003</v>
      </c>
      <c r="N188" s="50">
        <f t="shared" si="7"/>
        <v>2.7473684210526312</v>
      </c>
      <c r="O188" s="50">
        <f t="shared" si="8"/>
        <v>0.36398467432950193</v>
      </c>
    </row>
    <row r="189" spans="1:15" x14ac:dyDescent="0.3">
      <c r="A189" s="54">
        <v>1.5400000000249601</v>
      </c>
      <c r="B189" s="53">
        <v>0.45</v>
      </c>
      <c r="J189" s="41">
        <v>70.5</v>
      </c>
      <c r="K189" s="48">
        <v>0.94259999999999999</v>
      </c>
      <c r="L189" s="41">
        <v>70.5</v>
      </c>
      <c r="M189" s="49">
        <v>0.55579999999999996</v>
      </c>
      <c r="N189" s="50">
        <f t="shared" si="7"/>
        <v>1.6959337891327817</v>
      </c>
      <c r="O189" s="50">
        <f t="shared" si="8"/>
        <v>0.58964566093783144</v>
      </c>
    </row>
    <row r="190" spans="1:15" x14ac:dyDescent="0.3">
      <c r="A190" s="54">
        <v>1.5500000000312</v>
      </c>
      <c r="B190" s="53">
        <v>0.45</v>
      </c>
      <c r="J190" s="41">
        <v>71</v>
      </c>
      <c r="K190" s="48">
        <v>0.94550000000000001</v>
      </c>
      <c r="L190" s="41">
        <v>71</v>
      </c>
      <c r="M190" s="49">
        <v>0.32556000000000002</v>
      </c>
      <c r="N190" s="50">
        <f t="shared" si="7"/>
        <v>2.9042265634598845</v>
      </c>
      <c r="O190" s="50">
        <f t="shared" si="8"/>
        <v>0.34432575356953993</v>
      </c>
    </row>
    <row r="191" spans="1:15" x14ac:dyDescent="0.3">
      <c r="A191" s="54">
        <v>1.5600000000374401</v>
      </c>
      <c r="B191" s="53">
        <v>0.45</v>
      </c>
      <c r="J191" s="41">
        <v>71.5</v>
      </c>
      <c r="K191" s="48">
        <v>0.94830000000000003</v>
      </c>
      <c r="L191" s="41">
        <v>71.5</v>
      </c>
      <c r="M191" s="49">
        <v>0.31730000000000003</v>
      </c>
      <c r="N191" s="50">
        <f t="shared" si="7"/>
        <v>2.9886542704065553</v>
      </c>
      <c r="O191" s="50">
        <f t="shared" si="8"/>
        <v>0.33459875566803754</v>
      </c>
    </row>
    <row r="192" spans="1:15" x14ac:dyDescent="0.3">
      <c r="A192" s="54">
        <v>1.57000000004368</v>
      </c>
      <c r="B192" s="53">
        <v>0.45</v>
      </c>
      <c r="J192" s="41">
        <v>72</v>
      </c>
      <c r="K192" s="48">
        <v>0.95099999999999996</v>
      </c>
      <c r="L192" s="41">
        <v>72</v>
      </c>
      <c r="M192" s="49">
        <v>0.309</v>
      </c>
      <c r="N192" s="50">
        <f t="shared" si="7"/>
        <v>3.0776699029126213</v>
      </c>
      <c r="O192" s="50">
        <f t="shared" si="8"/>
        <v>0.32492113564668773</v>
      </c>
    </row>
    <row r="193" spans="1:15" x14ac:dyDescent="0.3">
      <c r="A193" s="54">
        <v>1.5800000000499199</v>
      </c>
      <c r="B193" s="53">
        <v>0.45</v>
      </c>
      <c r="J193" s="41">
        <v>72.5</v>
      </c>
      <c r="K193" s="48">
        <v>0.95369999999999999</v>
      </c>
      <c r="L193" s="41">
        <v>72.5</v>
      </c>
      <c r="M193" s="49">
        <v>0.30070000000000002</v>
      </c>
      <c r="N193" s="50">
        <f t="shared" si="7"/>
        <v>3.1715996009311604</v>
      </c>
      <c r="O193" s="50">
        <f t="shared" si="8"/>
        <v>0.31529831183810425</v>
      </c>
    </row>
    <row r="194" spans="1:15" x14ac:dyDescent="0.3">
      <c r="A194" s="54">
        <v>1.59000000005616</v>
      </c>
      <c r="B194" s="53">
        <v>0.45</v>
      </c>
      <c r="J194" s="41">
        <v>73</v>
      </c>
      <c r="K194" s="48">
        <v>0.95630000000000004</v>
      </c>
      <c r="L194" s="41">
        <v>73</v>
      </c>
      <c r="M194" s="49">
        <v>0.29237000000000002</v>
      </c>
      <c r="N194" s="50">
        <f t="shared" si="7"/>
        <v>3.2708554229230082</v>
      </c>
      <c r="O194" s="50">
        <f t="shared" si="8"/>
        <v>0.30573041932447975</v>
      </c>
    </row>
    <row r="195" spans="1:15" x14ac:dyDescent="0.3">
      <c r="A195" s="54">
        <v>1.6000000000624</v>
      </c>
      <c r="B195" s="53">
        <v>0.45</v>
      </c>
      <c r="J195" s="41">
        <v>73.5</v>
      </c>
      <c r="K195" s="48">
        <v>0.95879999999999999</v>
      </c>
      <c r="L195" s="41">
        <v>73.5</v>
      </c>
      <c r="M195" s="49">
        <v>0.28399999999999997</v>
      </c>
      <c r="N195" s="50">
        <f t="shared" si="7"/>
        <v>3.3760563380281692</v>
      </c>
      <c r="O195" s="50">
        <f t="shared" si="8"/>
        <v>0.29620358781810596</v>
      </c>
    </row>
    <row r="196" spans="1:15" x14ac:dyDescent="0.3">
      <c r="A196" s="54">
        <v>1.6100000000686401</v>
      </c>
      <c r="B196" s="53">
        <v>0.45</v>
      </c>
      <c r="J196" s="41">
        <v>74</v>
      </c>
      <c r="K196" s="48">
        <v>0.96120000000000005</v>
      </c>
      <c r="L196" s="41">
        <v>74</v>
      </c>
      <c r="M196" s="49">
        <v>0.27560000000000001</v>
      </c>
      <c r="N196" s="50">
        <f t="shared" si="7"/>
        <v>3.4876632801161103</v>
      </c>
      <c r="O196" s="50">
        <f t="shared" si="8"/>
        <v>0.28672492717436537</v>
      </c>
    </row>
    <row r="197" spans="1:15" x14ac:dyDescent="0.3">
      <c r="A197" s="54">
        <v>1.62000000007488</v>
      </c>
      <c r="B197" s="53">
        <v>0.45</v>
      </c>
      <c r="J197" s="41">
        <v>74.5</v>
      </c>
      <c r="K197" s="48">
        <v>0.96360000000000001</v>
      </c>
      <c r="L197" s="41">
        <v>74.5</v>
      </c>
      <c r="M197" s="49">
        <v>0.26719999999999999</v>
      </c>
      <c r="N197" s="50">
        <f t="shared" si="7"/>
        <v>3.6062874251497008</v>
      </c>
      <c r="O197" s="50">
        <f t="shared" si="8"/>
        <v>0.27729348277293481</v>
      </c>
    </row>
    <row r="198" spans="1:15" x14ac:dyDescent="0.3">
      <c r="A198" s="54">
        <v>1.6300000000811199</v>
      </c>
      <c r="B198" s="53">
        <v>0.46</v>
      </c>
      <c r="J198" s="41">
        <v>75</v>
      </c>
      <c r="K198" s="48">
        <v>0.96589999999999998</v>
      </c>
      <c r="L198" s="41">
        <v>75</v>
      </c>
      <c r="M198" s="49">
        <v>0.25879999999999997</v>
      </c>
      <c r="N198" s="50">
        <f t="shared" si="7"/>
        <v>3.7322256568778984</v>
      </c>
      <c r="O198" s="50">
        <f t="shared" si="8"/>
        <v>0.26793663940366497</v>
      </c>
    </row>
    <row r="199" spans="1:15" x14ac:dyDescent="0.3">
      <c r="A199" s="54">
        <v>1.64000000008736</v>
      </c>
      <c r="B199" s="53">
        <v>0.46</v>
      </c>
      <c r="J199" s="41">
        <v>75.5</v>
      </c>
      <c r="K199" s="48">
        <v>0.96809999999999996</v>
      </c>
      <c r="L199" s="41">
        <v>75.5</v>
      </c>
      <c r="M199" s="49">
        <v>0.25030000000000002</v>
      </c>
      <c r="N199" s="50">
        <f t="shared" si="7"/>
        <v>3.8677586895725127</v>
      </c>
      <c r="O199" s="50">
        <f t="shared" si="8"/>
        <v>0.25854767069517615</v>
      </c>
    </row>
    <row r="200" spans="1:15" x14ac:dyDescent="0.3">
      <c r="A200" s="54">
        <v>1.6500000000935999</v>
      </c>
      <c r="B200" s="53">
        <v>0.46</v>
      </c>
      <c r="J200" s="41">
        <v>76</v>
      </c>
      <c r="K200" s="48">
        <v>0.97028999999999999</v>
      </c>
      <c r="L200" s="41">
        <v>76</v>
      </c>
      <c r="M200" s="49">
        <v>0.2419</v>
      </c>
      <c r="N200" s="50">
        <f t="shared" si="7"/>
        <v>4.0111202976436546</v>
      </c>
      <c r="O200" s="50">
        <f t="shared" si="8"/>
        <v>0.24930690824392709</v>
      </c>
    </row>
    <row r="201" spans="1:15" x14ac:dyDescent="0.3">
      <c r="A201" s="54">
        <v>1.6600000000998401</v>
      </c>
      <c r="B201" s="53">
        <v>0.46</v>
      </c>
      <c r="J201" s="41">
        <v>76.5</v>
      </c>
      <c r="K201" s="48">
        <v>0.98229999999999995</v>
      </c>
      <c r="L201" s="41">
        <v>76.5</v>
      </c>
      <c r="M201" s="49">
        <v>0.2334</v>
      </c>
      <c r="N201" s="50">
        <f t="shared" si="7"/>
        <v>4.2086546700942584</v>
      </c>
      <c r="O201" s="50">
        <f t="shared" si="8"/>
        <v>0.23760561946452205</v>
      </c>
    </row>
    <row r="202" spans="1:15" x14ac:dyDescent="0.3">
      <c r="A202" s="54">
        <v>1.67000000010608</v>
      </c>
      <c r="B202" s="53">
        <v>0.46</v>
      </c>
      <c r="J202" s="41">
        <v>77</v>
      </c>
      <c r="K202" s="48">
        <v>0.97430000000000005</v>
      </c>
      <c r="L202" s="41">
        <v>77</v>
      </c>
      <c r="M202" s="49">
        <v>0.22489999999999999</v>
      </c>
      <c r="N202" s="50">
        <f t="shared" si="7"/>
        <v>4.332147621164963</v>
      </c>
      <c r="O202" s="50">
        <f t="shared" si="8"/>
        <v>0.23083239248691365</v>
      </c>
    </row>
    <row r="203" spans="1:15" x14ac:dyDescent="0.3">
      <c r="A203" s="54">
        <v>1.6800000001123201</v>
      </c>
      <c r="B203" s="53">
        <v>0.46</v>
      </c>
      <c r="J203" s="41">
        <v>77.5</v>
      </c>
      <c r="K203" s="48">
        <v>0.97619999999999996</v>
      </c>
      <c r="L203" s="41">
        <v>77.5</v>
      </c>
      <c r="M203" s="49">
        <v>0.21640000000000001</v>
      </c>
      <c r="N203" s="50">
        <f t="shared" si="7"/>
        <v>4.5110905730129387</v>
      </c>
      <c r="O203" s="50">
        <f t="shared" si="8"/>
        <v>0.22167588608891622</v>
      </c>
    </row>
    <row r="204" spans="1:15" x14ac:dyDescent="0.3">
      <c r="A204" s="54">
        <v>1.69000000011856</v>
      </c>
      <c r="B204" s="53">
        <v>0.46</v>
      </c>
      <c r="J204" s="41">
        <v>78</v>
      </c>
      <c r="K204" s="48">
        <v>0.97809999999999997</v>
      </c>
      <c r="L204" s="41">
        <v>78</v>
      </c>
      <c r="M204" s="49">
        <v>0.2079</v>
      </c>
      <c r="N204" s="50">
        <f t="shared" si="7"/>
        <v>4.7046657046657048</v>
      </c>
      <c r="O204" s="50">
        <f t="shared" si="8"/>
        <v>0.21255495348123915</v>
      </c>
    </row>
    <row r="205" spans="1:15" x14ac:dyDescent="0.3">
      <c r="A205" s="54">
        <v>1.7000000001247999</v>
      </c>
      <c r="B205" s="53">
        <v>0.46</v>
      </c>
      <c r="J205" s="41">
        <v>78.5</v>
      </c>
      <c r="K205" s="48">
        <v>0.97989999999999999</v>
      </c>
      <c r="L205" s="41">
        <v>78.5</v>
      </c>
      <c r="M205" s="49">
        <v>0.19936000000000001</v>
      </c>
      <c r="N205" s="50">
        <f t="shared" si="7"/>
        <v>4.9152287319422152</v>
      </c>
      <c r="O205" s="50">
        <f t="shared" si="8"/>
        <v>0.20344933156444536</v>
      </c>
    </row>
    <row r="206" spans="1:15" x14ac:dyDescent="0.3">
      <c r="A206" s="54">
        <v>1.71000000013104</v>
      </c>
      <c r="B206" s="53">
        <v>0.46</v>
      </c>
      <c r="J206" s="41">
        <v>79</v>
      </c>
      <c r="K206" s="48">
        <v>0.98160000000000003</v>
      </c>
      <c r="L206" s="41">
        <v>79</v>
      </c>
      <c r="M206" s="49">
        <v>0.1908</v>
      </c>
      <c r="N206" s="50">
        <f t="shared" si="7"/>
        <v>5.1446540880503147</v>
      </c>
      <c r="O206" s="50">
        <f t="shared" si="8"/>
        <v>0.19437652811735939</v>
      </c>
    </row>
    <row r="207" spans="1:15" x14ac:dyDescent="0.3">
      <c r="A207" s="54">
        <v>1.7200000001372799</v>
      </c>
      <c r="B207" s="53">
        <v>0.46</v>
      </c>
      <c r="J207" s="41">
        <v>79.5</v>
      </c>
      <c r="K207" s="48">
        <v>0.98319999999999996</v>
      </c>
      <c r="L207" s="41">
        <v>79.5</v>
      </c>
      <c r="M207" s="49">
        <v>0.1822</v>
      </c>
      <c r="N207" s="50">
        <f t="shared" si="7"/>
        <v>5.3962678375411635</v>
      </c>
      <c r="O207" s="50">
        <f t="shared" si="8"/>
        <v>0.185313262815297</v>
      </c>
    </row>
    <row r="208" spans="1:15" x14ac:dyDescent="0.3">
      <c r="A208" s="54">
        <v>1.7300000001435201</v>
      </c>
      <c r="B208" s="53">
        <v>0.46</v>
      </c>
      <c r="J208" s="41">
        <v>80</v>
      </c>
      <c r="K208" s="48">
        <v>0.98480000000000001</v>
      </c>
      <c r="L208" s="41">
        <v>80</v>
      </c>
      <c r="M208" s="49">
        <v>0.1736</v>
      </c>
      <c r="N208" s="50">
        <f t="shared" si="7"/>
        <v>5.6728110599078336</v>
      </c>
      <c r="O208" s="50">
        <f t="shared" si="8"/>
        <v>0.17627944760357434</v>
      </c>
    </row>
    <row r="209" spans="1:15" x14ac:dyDescent="0.3">
      <c r="A209" s="54">
        <v>1.74000000014976</v>
      </c>
      <c r="B209" s="53">
        <v>0.46</v>
      </c>
      <c r="J209" s="41">
        <v>80.5</v>
      </c>
      <c r="K209" s="48">
        <v>0.98619999999999997</v>
      </c>
      <c r="L209" s="41">
        <v>80.5</v>
      </c>
      <c r="M209" s="49">
        <v>0.16500000000000001</v>
      </c>
      <c r="N209" s="50">
        <f t="shared" si="7"/>
        <v>5.9769696969696966</v>
      </c>
      <c r="O209" s="50">
        <f t="shared" si="8"/>
        <v>0.16730886229973638</v>
      </c>
    </row>
    <row r="210" spans="1:15" x14ac:dyDescent="0.3">
      <c r="A210" s="54">
        <v>1.75</v>
      </c>
      <c r="B210" s="53">
        <v>0.47</v>
      </c>
      <c r="J210" s="41">
        <v>81</v>
      </c>
      <c r="K210" s="48">
        <v>0.98760000000000003</v>
      </c>
      <c r="L210" s="41">
        <v>81</v>
      </c>
      <c r="M210" s="49">
        <v>0.15640000000000001</v>
      </c>
      <c r="N210" s="50">
        <f t="shared" si="7"/>
        <v>6.3145780051150897</v>
      </c>
      <c r="O210" s="50">
        <f t="shared" si="8"/>
        <v>0.15836371000405022</v>
      </c>
    </row>
    <row r="211" spans="1:15" x14ac:dyDescent="0.3">
      <c r="A211" s="54">
        <v>1.75999999985024</v>
      </c>
      <c r="B211" s="53">
        <v>0.47</v>
      </c>
      <c r="J211" s="41">
        <v>81.5</v>
      </c>
      <c r="K211" s="48">
        <v>0.98899999999999999</v>
      </c>
      <c r="L211" s="41">
        <v>81.5</v>
      </c>
      <c r="M211" s="49">
        <v>0.14779999999999999</v>
      </c>
      <c r="N211" s="50">
        <f t="shared" si="7"/>
        <v>6.6914749661705013</v>
      </c>
      <c r="O211" s="50">
        <f t="shared" si="8"/>
        <v>0.14944388270980788</v>
      </c>
    </row>
    <row r="212" spans="1:15" x14ac:dyDescent="0.3">
      <c r="A212" s="54">
        <v>1.7699999997004801</v>
      </c>
      <c r="B212" s="53">
        <v>0.47</v>
      </c>
      <c r="J212" s="41">
        <v>82</v>
      </c>
      <c r="K212" s="48">
        <v>0.99902599999999997</v>
      </c>
      <c r="L212" s="41">
        <v>82</v>
      </c>
      <c r="M212" s="49">
        <v>0.13916999999999999</v>
      </c>
      <c r="N212" s="50">
        <f t="shared" si="7"/>
        <v>7.1784580010059642</v>
      </c>
      <c r="O212" s="50">
        <f t="shared" si="8"/>
        <v>0.13930568373595881</v>
      </c>
    </row>
    <row r="213" spans="1:15" x14ac:dyDescent="0.3">
      <c r="A213" s="54">
        <v>1.7799999995507201</v>
      </c>
      <c r="B213" s="53">
        <v>0.47</v>
      </c>
      <c r="J213" s="41">
        <v>82.5</v>
      </c>
      <c r="K213" s="48">
        <v>0.99143999999999999</v>
      </c>
      <c r="L213" s="41">
        <v>82.5</v>
      </c>
      <c r="M213" s="49">
        <v>0.1305</v>
      </c>
      <c r="N213" s="50">
        <f t="shared" si="7"/>
        <v>7.5972413793103444</v>
      </c>
      <c r="O213" s="50">
        <f t="shared" si="8"/>
        <v>0.13162672476397969</v>
      </c>
    </row>
    <row r="214" spans="1:15" x14ac:dyDescent="0.3">
      <c r="A214" s="54">
        <v>1.7899999994009601</v>
      </c>
      <c r="B214" s="53">
        <v>0.47</v>
      </c>
      <c r="J214" s="41">
        <v>83</v>
      </c>
      <c r="K214" s="48">
        <v>0.99250000000000005</v>
      </c>
      <c r="L214" s="41">
        <v>83</v>
      </c>
      <c r="M214" s="49">
        <v>0.12186</v>
      </c>
      <c r="N214" s="50">
        <f t="shared" si="7"/>
        <v>8.1445921549318889</v>
      </c>
      <c r="O214" s="50">
        <f t="shared" si="8"/>
        <v>0.1227808564231738</v>
      </c>
    </row>
    <row r="215" spans="1:15" x14ac:dyDescent="0.3">
      <c r="A215" s="54">
        <v>1.7999999992511999</v>
      </c>
      <c r="B215" s="53">
        <v>0.47</v>
      </c>
      <c r="J215" s="41">
        <v>83.5</v>
      </c>
      <c r="K215" s="48">
        <v>0.99350000000000005</v>
      </c>
      <c r="L215" s="41">
        <v>83.5</v>
      </c>
      <c r="M215" s="49">
        <v>0.1132</v>
      </c>
      <c r="N215" s="50">
        <f t="shared" si="7"/>
        <v>8.7765017667844525</v>
      </c>
      <c r="O215" s="50">
        <f t="shared" si="8"/>
        <v>0.1139406139909411</v>
      </c>
    </row>
    <row r="216" spans="1:15" x14ac:dyDescent="0.3">
      <c r="A216" s="54">
        <v>1.8099999991014399</v>
      </c>
      <c r="B216" s="53">
        <v>0.47</v>
      </c>
      <c r="J216" s="41">
        <v>84</v>
      </c>
      <c r="K216" s="48">
        <v>0.99450000000000005</v>
      </c>
      <c r="L216" s="41">
        <v>84</v>
      </c>
      <c r="M216" s="49">
        <v>0.1045</v>
      </c>
      <c r="N216" s="50">
        <f t="shared" si="7"/>
        <v>9.5167464114832541</v>
      </c>
      <c r="O216" s="50">
        <f t="shared" si="8"/>
        <v>0.10507792860734036</v>
      </c>
    </row>
    <row r="217" spans="1:15" x14ac:dyDescent="0.3">
      <c r="A217" s="54">
        <v>1.81999999895168</v>
      </c>
      <c r="B217" s="53">
        <v>0.47</v>
      </c>
      <c r="J217" s="41">
        <v>84.5</v>
      </c>
      <c r="K217" s="48">
        <v>0.99529999999999996</v>
      </c>
      <c r="L217" s="41">
        <v>84.5</v>
      </c>
      <c r="M217" s="49">
        <v>9.5799999999999996E-2</v>
      </c>
      <c r="N217" s="50">
        <f t="shared" si="7"/>
        <v>10.389352818371608</v>
      </c>
      <c r="O217" s="50">
        <f t="shared" si="8"/>
        <v>9.6252386215211497E-2</v>
      </c>
    </row>
    <row r="218" spans="1:15" x14ac:dyDescent="0.3">
      <c r="A218" s="54">
        <v>1.82999999880192</v>
      </c>
      <c r="B218" s="53">
        <v>0.47</v>
      </c>
      <c r="J218" s="41">
        <v>85</v>
      </c>
      <c r="K218" s="48">
        <v>0.99619000000000002</v>
      </c>
      <c r="L218" s="41">
        <v>85</v>
      </c>
      <c r="M218" s="49">
        <v>8.7150000000000005E-2</v>
      </c>
      <c r="N218" s="50">
        <f t="shared" si="7"/>
        <v>11.43075157773953</v>
      </c>
      <c r="O218" s="50">
        <f t="shared" si="8"/>
        <v>8.7483311416496859E-2</v>
      </c>
    </row>
    <row r="219" spans="1:15" x14ac:dyDescent="0.3">
      <c r="A219" s="54">
        <v>1.83999999865216</v>
      </c>
      <c r="B219" s="53">
        <v>0.47</v>
      </c>
      <c r="J219" s="41">
        <v>85.5</v>
      </c>
      <c r="K219" s="48">
        <v>0.99690000000000001</v>
      </c>
      <c r="L219" s="41">
        <v>85.5</v>
      </c>
      <c r="M219" s="49">
        <v>7.8399999999999997E-2</v>
      </c>
      <c r="N219" s="50">
        <f t="shared" si="7"/>
        <v>12.715561224489797</v>
      </c>
      <c r="O219" s="50">
        <f t="shared" si="8"/>
        <v>7.8643795766877314E-2</v>
      </c>
    </row>
    <row r="220" spans="1:15" x14ac:dyDescent="0.3">
      <c r="A220" s="54">
        <v>1.8499999985024</v>
      </c>
      <c r="B220" s="53">
        <v>0.47</v>
      </c>
      <c r="J220" s="41">
        <v>86</v>
      </c>
      <c r="K220" s="48">
        <v>0.99756</v>
      </c>
      <c r="L220" s="41">
        <v>86</v>
      </c>
      <c r="M220" s="49">
        <v>6.9750000000000006E-2</v>
      </c>
      <c r="N220" s="50">
        <f t="shared" si="7"/>
        <v>14.301935483870967</v>
      </c>
      <c r="O220" s="50">
        <f t="shared" si="8"/>
        <v>6.9920606279321548E-2</v>
      </c>
    </row>
    <row r="221" spans="1:15" x14ac:dyDescent="0.3">
      <c r="A221" s="54">
        <v>1.8599999983526401</v>
      </c>
      <c r="B221" s="53">
        <v>0.47</v>
      </c>
      <c r="J221" s="41">
        <v>86.5</v>
      </c>
      <c r="K221" s="48">
        <v>0.99809999999999999</v>
      </c>
      <c r="L221" s="41">
        <v>86.5</v>
      </c>
      <c r="M221" s="49">
        <v>6.0999999999999999E-2</v>
      </c>
      <c r="N221" s="50">
        <f t="shared" si="7"/>
        <v>16.362295081967215</v>
      </c>
      <c r="O221" s="50">
        <f t="shared" si="8"/>
        <v>6.111612062919547E-2</v>
      </c>
    </row>
    <row r="222" spans="1:15" x14ac:dyDescent="0.3">
      <c r="A222" s="54">
        <v>1.8699999982028801</v>
      </c>
      <c r="B222" s="53">
        <v>0.47</v>
      </c>
      <c r="J222" s="41">
        <v>87</v>
      </c>
      <c r="K222" s="48">
        <v>0.99860000000000004</v>
      </c>
      <c r="L222" s="41">
        <v>87</v>
      </c>
      <c r="M222" s="49">
        <v>5.2330000000000002E-2</v>
      </c>
      <c r="N222" s="50">
        <f t="shared" si="7"/>
        <v>19.082744123829542</v>
      </c>
      <c r="O222" s="50">
        <f t="shared" si="8"/>
        <v>5.2403364710594834E-2</v>
      </c>
    </row>
    <row r="223" spans="1:15" x14ac:dyDescent="0.3">
      <c r="A223" s="54">
        <v>1.8799999980531199</v>
      </c>
      <c r="B223" s="53">
        <v>0.48</v>
      </c>
      <c r="J223" s="41">
        <v>87.5</v>
      </c>
      <c r="K223" s="48">
        <v>0.999</v>
      </c>
      <c r="L223" s="41">
        <v>87.5</v>
      </c>
      <c r="M223" s="49">
        <v>4.36E-2</v>
      </c>
      <c r="N223" s="50">
        <f t="shared" si="7"/>
        <v>22.912844036697248</v>
      </c>
      <c r="O223" s="50">
        <f t="shared" si="8"/>
        <v>4.3643643643643641E-2</v>
      </c>
    </row>
    <row r="224" spans="1:15" x14ac:dyDescent="0.3">
      <c r="A224" s="54">
        <v>1.8899999979033599</v>
      </c>
      <c r="B224" s="53">
        <v>0.48</v>
      </c>
      <c r="J224" s="41">
        <v>88</v>
      </c>
      <c r="K224" s="48">
        <v>0.99939</v>
      </c>
      <c r="L224" s="41">
        <v>88</v>
      </c>
      <c r="M224" s="49">
        <v>3.4898999999999999E-2</v>
      </c>
      <c r="N224" s="50">
        <f t="shared" si="7"/>
        <v>28.636637152927019</v>
      </c>
      <c r="O224" s="50">
        <f t="shared" si="8"/>
        <v>3.4920301383844145E-2</v>
      </c>
    </row>
    <row r="225" spans="1:15" x14ac:dyDescent="0.3">
      <c r="A225" s="54">
        <v>1.8999999977536</v>
      </c>
      <c r="B225" s="53">
        <v>0.48</v>
      </c>
      <c r="J225" s="41">
        <v>88.5</v>
      </c>
      <c r="K225" s="48">
        <v>0.99960000000000004</v>
      </c>
      <c r="L225" s="41">
        <v>88.5</v>
      </c>
      <c r="M225" s="49">
        <v>2.6100000000000002E-2</v>
      </c>
      <c r="N225" s="50">
        <f t="shared" si="7"/>
        <v>38.298850574712645</v>
      </c>
      <c r="O225" s="50">
        <f t="shared" si="8"/>
        <v>2.6110444177671069E-2</v>
      </c>
    </row>
    <row r="226" spans="1:15" x14ac:dyDescent="0.3">
      <c r="A226" s="54">
        <v>1.90999999760384</v>
      </c>
      <c r="B226" s="53">
        <v>0.48</v>
      </c>
      <c r="J226" s="41">
        <v>89</v>
      </c>
      <c r="K226" s="55">
        <v>0.99980000000000002</v>
      </c>
      <c r="L226" s="41">
        <v>89</v>
      </c>
      <c r="M226" s="49">
        <v>1.745E-2</v>
      </c>
      <c r="N226" s="50">
        <f t="shared" si="7"/>
        <v>57.295128939828082</v>
      </c>
      <c r="O226" s="50">
        <f t="shared" si="8"/>
        <v>1.7453490698139628E-2</v>
      </c>
    </row>
    <row r="227" spans="1:15" x14ac:dyDescent="0.3">
      <c r="A227" s="54">
        <v>1.91999999745408</v>
      </c>
      <c r="B227" s="53">
        <v>0.48</v>
      </c>
      <c r="J227" s="41">
        <v>89.5</v>
      </c>
      <c r="K227" s="55">
        <v>0.99990000000000001</v>
      </c>
      <c r="L227" s="41">
        <v>89.5</v>
      </c>
      <c r="M227" s="49">
        <v>8.6999999999999994E-3</v>
      </c>
      <c r="N227" s="50">
        <f t="shared" si="7"/>
        <v>114.93103448275863</v>
      </c>
      <c r="O227" s="50">
        <f t="shared" si="8"/>
        <v>8.7008700870087E-3</v>
      </c>
    </row>
    <row r="228" spans="1:15" x14ac:dyDescent="0.3">
      <c r="A228" s="54">
        <v>1.92999999730432</v>
      </c>
      <c r="B228" s="53">
        <v>0.48</v>
      </c>
      <c r="J228" s="41">
        <v>90</v>
      </c>
      <c r="K228" s="48">
        <v>1</v>
      </c>
      <c r="L228" s="41">
        <v>90</v>
      </c>
      <c r="M228" s="49">
        <v>0</v>
      </c>
      <c r="N228" s="50">
        <v>1</v>
      </c>
      <c r="O228" s="50">
        <f t="shared" si="8"/>
        <v>0</v>
      </c>
    </row>
    <row r="229" spans="1:15" x14ac:dyDescent="0.3">
      <c r="A229" s="54">
        <v>1.9399999971545601</v>
      </c>
      <c r="B229" s="53">
        <v>0.48</v>
      </c>
      <c r="J229" s="56"/>
      <c r="K229" s="48"/>
      <c r="M229" s="49"/>
      <c r="N229" s="50"/>
      <c r="O229" s="50"/>
    </row>
    <row r="230" spans="1:15" x14ac:dyDescent="0.3">
      <c r="A230" s="54">
        <v>1.9499999970048001</v>
      </c>
      <c r="B230" s="53">
        <v>0.48</v>
      </c>
    </row>
    <row r="231" spans="1:15" x14ac:dyDescent="0.3">
      <c r="A231" s="54">
        <v>1.9599999968550399</v>
      </c>
      <c r="B231" s="53">
        <v>0.48</v>
      </c>
    </row>
    <row r="232" spans="1:15" x14ac:dyDescent="0.3">
      <c r="A232" s="54">
        <v>1.9699999967052799</v>
      </c>
      <c r="B232" s="53">
        <v>0.48</v>
      </c>
    </row>
    <row r="233" spans="1:15" x14ac:dyDescent="0.3">
      <c r="A233" s="54">
        <v>1.9799999965555199</v>
      </c>
      <c r="B233" s="53">
        <v>0.48</v>
      </c>
    </row>
    <row r="234" spans="1:15" x14ac:dyDescent="0.3">
      <c r="A234" s="54">
        <v>1.98999999640576</v>
      </c>
      <c r="B234" s="53">
        <v>0.48</v>
      </c>
    </row>
    <row r="235" spans="1:15" x14ac:dyDescent="0.3">
      <c r="A235" s="54">
        <v>2</v>
      </c>
      <c r="B235" s="53">
        <v>0.49</v>
      </c>
    </row>
    <row r="236" spans="1:15" x14ac:dyDescent="0.3">
      <c r="A236" s="54">
        <v>2.0100000035942398</v>
      </c>
      <c r="B236" s="53">
        <v>0.49</v>
      </c>
    </row>
    <row r="237" spans="1:15" x14ac:dyDescent="0.3">
      <c r="A237" s="54">
        <v>2.0200000071884801</v>
      </c>
      <c r="B237" s="53">
        <v>0.49</v>
      </c>
    </row>
    <row r="238" spans="1:15" x14ac:dyDescent="0.3">
      <c r="A238" s="54">
        <v>2.0300000107827199</v>
      </c>
      <c r="B238" s="53">
        <v>0.49</v>
      </c>
    </row>
    <row r="239" spans="1:15" x14ac:dyDescent="0.3">
      <c r="A239" s="54">
        <v>2.0400000143769601</v>
      </c>
      <c r="B239" s="53">
        <v>0.49</v>
      </c>
    </row>
    <row r="240" spans="1:15" x14ac:dyDescent="0.3">
      <c r="A240" s="54">
        <v>2.0500000179711999</v>
      </c>
      <c r="B240" s="53">
        <v>0.49</v>
      </c>
    </row>
    <row r="241" spans="1:2" x14ac:dyDescent="0.3">
      <c r="A241" s="54">
        <v>2.0600000215654402</v>
      </c>
      <c r="B241" s="53">
        <v>0.49</v>
      </c>
    </row>
    <row r="242" spans="1:2" x14ac:dyDescent="0.3">
      <c r="A242" s="54">
        <v>2.07000002515968</v>
      </c>
      <c r="B242" s="53">
        <v>0.49</v>
      </c>
    </row>
    <row r="243" spans="1:2" x14ac:dyDescent="0.3">
      <c r="A243" s="54">
        <v>2.0800000287539202</v>
      </c>
      <c r="B243" s="53">
        <v>0.49</v>
      </c>
    </row>
    <row r="244" spans="1:2" x14ac:dyDescent="0.3">
      <c r="A244" s="54">
        <v>2.09000003234816</v>
      </c>
      <c r="B244" s="53">
        <v>0.49</v>
      </c>
    </row>
    <row r="245" spans="1:2" x14ac:dyDescent="0.3">
      <c r="A245" s="54">
        <v>2.1000000359423998</v>
      </c>
      <c r="B245" s="53">
        <v>0.49</v>
      </c>
    </row>
    <row r="246" spans="1:2" x14ac:dyDescent="0.3">
      <c r="A246" s="54">
        <v>2.1100000395366401</v>
      </c>
      <c r="B246" s="53">
        <v>0.49</v>
      </c>
    </row>
    <row r="247" spans="1:2" x14ac:dyDescent="0.3">
      <c r="A247" s="54">
        <v>2.1200000431308799</v>
      </c>
      <c r="B247" s="53">
        <v>0.49</v>
      </c>
    </row>
    <row r="248" spans="1:2" x14ac:dyDescent="0.3">
      <c r="A248" s="54">
        <v>2.1300000467251201</v>
      </c>
      <c r="B248" s="53">
        <v>0.5</v>
      </c>
    </row>
    <row r="249" spans="1:2" x14ac:dyDescent="0.3">
      <c r="A249" s="54">
        <v>2.1400000503193599</v>
      </c>
      <c r="B249" s="53">
        <v>0.5</v>
      </c>
    </row>
    <row r="250" spans="1:2" x14ac:dyDescent="0.3">
      <c r="A250" s="54">
        <v>2.1500000539136002</v>
      </c>
      <c r="B250" s="53">
        <v>0.5</v>
      </c>
    </row>
    <row r="251" spans="1:2" x14ac:dyDescent="0.3">
      <c r="A251" s="54">
        <v>2.16000005750784</v>
      </c>
      <c r="B251" s="53">
        <v>0.5</v>
      </c>
    </row>
    <row r="252" spans="1:2" x14ac:dyDescent="0.3">
      <c r="A252" s="54">
        <v>2.1700000611020802</v>
      </c>
      <c r="B252" s="53">
        <v>0.5</v>
      </c>
    </row>
    <row r="253" spans="1:2" x14ac:dyDescent="0.3">
      <c r="A253" s="54">
        <v>2.18000006469632</v>
      </c>
      <c r="B253" s="53">
        <v>0.5</v>
      </c>
    </row>
    <row r="254" spans="1:2" x14ac:dyDescent="0.3">
      <c r="A254" s="54">
        <v>2.1900000682905598</v>
      </c>
      <c r="B254" s="53">
        <v>0.5</v>
      </c>
    </row>
    <row r="255" spans="1:2" x14ac:dyDescent="0.3">
      <c r="A255" s="54">
        <v>2.2000000718848001</v>
      </c>
      <c r="B255" s="53">
        <v>0.5</v>
      </c>
    </row>
    <row r="256" spans="1:2" x14ac:dyDescent="0.3">
      <c r="A256" s="54">
        <v>2.2100000754790399</v>
      </c>
      <c r="B256" s="53">
        <v>0.5</v>
      </c>
    </row>
    <row r="257" spans="1:2" x14ac:dyDescent="0.3">
      <c r="A257" s="54">
        <v>2.2200000790732801</v>
      </c>
      <c r="B257" s="53">
        <v>0.5</v>
      </c>
    </row>
    <row r="258" spans="1:2" x14ac:dyDescent="0.3">
      <c r="A258" s="54">
        <v>2.2300000826675199</v>
      </c>
      <c r="B258" s="53">
        <v>0.5</v>
      </c>
    </row>
    <row r="259" spans="1:2" x14ac:dyDescent="0.3">
      <c r="A259" s="54">
        <v>2.2400000862617602</v>
      </c>
      <c r="B259" s="53">
        <v>0.5</v>
      </c>
    </row>
    <row r="260" spans="1:2" x14ac:dyDescent="0.3">
      <c r="A260" s="54">
        <v>2.25</v>
      </c>
      <c r="B260" s="53">
        <v>0.51</v>
      </c>
    </row>
    <row r="261" spans="1:2" x14ac:dyDescent="0.3">
      <c r="A261" s="54">
        <v>2.2599999137382398</v>
      </c>
      <c r="B261" s="53">
        <v>0.51</v>
      </c>
    </row>
    <row r="262" spans="1:2" x14ac:dyDescent="0.3">
      <c r="A262" s="54">
        <v>2.2699998274764801</v>
      </c>
      <c r="B262" s="53">
        <v>0.51</v>
      </c>
    </row>
    <row r="263" spans="1:2" x14ac:dyDescent="0.3">
      <c r="A263" s="54">
        <v>2.2799997412147199</v>
      </c>
      <c r="B263" s="53">
        <v>0.51</v>
      </c>
    </row>
    <row r="264" spans="1:2" x14ac:dyDescent="0.3">
      <c r="A264" s="54">
        <v>2.2899996549529602</v>
      </c>
      <c r="B264" s="53">
        <v>0.51</v>
      </c>
    </row>
    <row r="265" spans="1:2" x14ac:dyDescent="0.3">
      <c r="A265" s="54">
        <v>2.2999995686912</v>
      </c>
      <c r="B265" s="53">
        <v>0.51</v>
      </c>
    </row>
    <row r="266" spans="1:2" x14ac:dyDescent="0.3">
      <c r="A266" s="54">
        <v>2.3099994824294399</v>
      </c>
      <c r="B266" s="53">
        <v>0.51</v>
      </c>
    </row>
    <row r="267" spans="1:2" x14ac:dyDescent="0.3">
      <c r="A267" s="54">
        <v>2.3199993961676801</v>
      </c>
      <c r="B267" s="53">
        <v>0.51</v>
      </c>
    </row>
    <row r="268" spans="1:2" x14ac:dyDescent="0.3">
      <c r="A268" s="54">
        <v>2.32999930990592</v>
      </c>
      <c r="B268" s="53">
        <v>0.51</v>
      </c>
    </row>
    <row r="269" spans="1:2" x14ac:dyDescent="0.3">
      <c r="A269" s="54">
        <v>2.3399992236441598</v>
      </c>
      <c r="B269" s="53">
        <v>0.51</v>
      </c>
    </row>
    <row r="270" spans="1:2" x14ac:dyDescent="0.3">
      <c r="A270" s="54">
        <v>2.3499991373824001</v>
      </c>
      <c r="B270" s="53">
        <v>0.51</v>
      </c>
    </row>
    <row r="271" spans="1:2" x14ac:dyDescent="0.3">
      <c r="A271" s="54">
        <v>2.3599990511206399</v>
      </c>
      <c r="B271" s="53">
        <v>0.51</v>
      </c>
    </row>
    <row r="272" spans="1:2" x14ac:dyDescent="0.3">
      <c r="A272" s="54">
        <v>2.3699989648588802</v>
      </c>
      <c r="B272" s="53">
        <v>0.51</v>
      </c>
    </row>
    <row r="273" spans="1:2" x14ac:dyDescent="0.3">
      <c r="A273" s="54">
        <v>2.37999887859712</v>
      </c>
      <c r="B273" s="53">
        <v>0.51</v>
      </c>
    </row>
    <row r="274" spans="1:2" x14ac:dyDescent="0.3">
      <c r="A274" s="54">
        <v>2.3899987923353598</v>
      </c>
      <c r="B274" s="53">
        <v>0.51</v>
      </c>
    </row>
    <row r="275" spans="1:2" x14ac:dyDescent="0.3">
      <c r="A275" s="54">
        <v>2.3999987060736001</v>
      </c>
      <c r="B275" s="53">
        <v>0.51</v>
      </c>
    </row>
    <row r="276" spans="1:2" x14ac:dyDescent="0.3">
      <c r="A276" s="54">
        <v>2.4099986198118399</v>
      </c>
      <c r="B276" s="53">
        <v>0.51</v>
      </c>
    </row>
    <row r="277" spans="1:2" x14ac:dyDescent="0.3">
      <c r="A277" s="54">
        <v>2.4199985335500802</v>
      </c>
      <c r="B277" s="53">
        <v>0.51</v>
      </c>
    </row>
    <row r="278" spans="1:2" x14ac:dyDescent="0.3">
      <c r="A278" s="54">
        <v>2.42999844728832</v>
      </c>
      <c r="B278" s="53">
        <v>0.51</v>
      </c>
    </row>
    <row r="279" spans="1:2" x14ac:dyDescent="0.3">
      <c r="A279" s="54">
        <v>2.4399983610265599</v>
      </c>
      <c r="B279" s="53">
        <v>0.51</v>
      </c>
    </row>
    <row r="280" spans="1:2" x14ac:dyDescent="0.3">
      <c r="A280" s="54">
        <v>2.4499982747648001</v>
      </c>
      <c r="B280" s="53">
        <v>0.51</v>
      </c>
    </row>
    <row r="281" spans="1:2" x14ac:dyDescent="0.3">
      <c r="A281" s="54">
        <v>2.45999818850304</v>
      </c>
      <c r="B281" s="53">
        <v>0.51</v>
      </c>
    </row>
    <row r="282" spans="1:2" x14ac:dyDescent="0.3">
      <c r="A282" s="54">
        <v>2.4699981022412798</v>
      </c>
      <c r="B282" s="53">
        <v>0.51</v>
      </c>
    </row>
    <row r="283" spans="1:2" x14ac:dyDescent="0.3">
      <c r="A283" s="54">
        <v>2.4799980159795201</v>
      </c>
      <c r="B283" s="53">
        <v>0.51</v>
      </c>
    </row>
    <row r="284" spans="1:2" x14ac:dyDescent="0.3">
      <c r="A284" s="54">
        <v>2.4899979297177599</v>
      </c>
      <c r="B284" s="53">
        <v>0.51</v>
      </c>
    </row>
    <row r="285" spans="1:2" x14ac:dyDescent="0.3">
      <c r="A285" s="54">
        <v>2.5</v>
      </c>
      <c r="B285" s="53">
        <v>0.51</v>
      </c>
    </row>
    <row r="286" spans="1:2" x14ac:dyDescent="0.3">
      <c r="A286" s="54">
        <v>2.5100020702822401</v>
      </c>
      <c r="B286" s="53">
        <v>0.51</v>
      </c>
    </row>
    <row r="287" spans="1:2" x14ac:dyDescent="0.3">
      <c r="A287" s="54">
        <v>2.5200041405644802</v>
      </c>
      <c r="B287" s="53">
        <v>0.51</v>
      </c>
    </row>
    <row r="288" spans="1:2" x14ac:dyDescent="0.3">
      <c r="A288" s="54">
        <v>2.5300062108467198</v>
      </c>
      <c r="B288" s="53">
        <v>0.51</v>
      </c>
    </row>
    <row r="289" spans="1:2" x14ac:dyDescent="0.3">
      <c r="A289" s="54">
        <v>2.5400082811289599</v>
      </c>
      <c r="B289" s="53">
        <v>0.51</v>
      </c>
    </row>
    <row r="290" spans="1:2" x14ac:dyDescent="0.3">
      <c r="A290" s="54">
        <v>2.5500103514112</v>
      </c>
      <c r="B290" s="53">
        <v>0.51</v>
      </c>
    </row>
    <row r="291" spans="1:2" x14ac:dyDescent="0.3">
      <c r="A291" s="54">
        <v>2.5600124216934401</v>
      </c>
      <c r="B291" s="53">
        <v>0.51</v>
      </c>
    </row>
    <row r="292" spans="1:2" x14ac:dyDescent="0.3">
      <c r="A292" s="54">
        <v>2.5700144919756802</v>
      </c>
      <c r="B292" s="53">
        <v>0.51</v>
      </c>
    </row>
    <row r="293" spans="1:2" x14ac:dyDescent="0.3">
      <c r="A293" s="54">
        <v>2.5800165622579199</v>
      </c>
      <c r="B293" s="53">
        <v>0.51</v>
      </c>
    </row>
    <row r="294" spans="1:2" x14ac:dyDescent="0.3">
      <c r="A294" s="54">
        <v>2.59001863254016</v>
      </c>
      <c r="B294" s="53">
        <v>0.51</v>
      </c>
    </row>
    <row r="295" spans="1:2" x14ac:dyDescent="0.3">
      <c r="A295" s="54">
        <v>2.6000207028224001</v>
      </c>
      <c r="B295" s="53">
        <v>0.51</v>
      </c>
    </row>
    <row r="296" spans="1:2" x14ac:dyDescent="0.3">
      <c r="A296" s="54">
        <v>2.6100227731046401</v>
      </c>
      <c r="B296" s="53">
        <v>0.51</v>
      </c>
    </row>
    <row r="297" spans="1:2" x14ac:dyDescent="0.3">
      <c r="A297" s="54">
        <v>2.6200248433868798</v>
      </c>
      <c r="B297" s="53">
        <v>0.51</v>
      </c>
    </row>
    <row r="298" spans="1:2" x14ac:dyDescent="0.3">
      <c r="A298" s="54">
        <v>2.6300269136691199</v>
      </c>
      <c r="B298" s="53">
        <v>0.51</v>
      </c>
    </row>
    <row r="299" spans="1:2" x14ac:dyDescent="0.3">
      <c r="A299" s="54">
        <v>2.64002898395136</v>
      </c>
      <c r="B299" s="53">
        <v>0.51</v>
      </c>
    </row>
    <row r="300" spans="1:2" x14ac:dyDescent="0.3">
      <c r="A300" s="54">
        <v>2.6500310542336001</v>
      </c>
      <c r="B300" s="53">
        <v>0.51</v>
      </c>
    </row>
    <row r="301" spans="1:2" x14ac:dyDescent="0.3">
      <c r="A301" s="54">
        <v>2.6600331245158402</v>
      </c>
      <c r="B301" s="53">
        <v>0.51</v>
      </c>
    </row>
    <row r="302" spans="1:2" x14ac:dyDescent="0.3">
      <c r="A302" s="54">
        <v>2.6700351947980798</v>
      </c>
      <c r="B302" s="53">
        <v>0.51</v>
      </c>
    </row>
    <row r="303" spans="1:2" x14ac:dyDescent="0.3">
      <c r="A303" s="54">
        <v>2.6800372650803199</v>
      </c>
      <c r="B303" s="53">
        <v>0.51</v>
      </c>
    </row>
    <row r="304" spans="1:2" x14ac:dyDescent="0.3">
      <c r="A304" s="54">
        <v>2.69003933536256</v>
      </c>
      <c r="B304" s="53">
        <v>0.51</v>
      </c>
    </row>
    <row r="305" spans="1:2" x14ac:dyDescent="0.3">
      <c r="A305" s="54">
        <v>2.7000414056448001</v>
      </c>
      <c r="B305" s="53">
        <v>0.51</v>
      </c>
    </row>
    <row r="306" spans="1:2" x14ac:dyDescent="0.3">
      <c r="A306" s="54">
        <v>2.7100434759270402</v>
      </c>
      <c r="B306" s="53">
        <v>0.51</v>
      </c>
    </row>
    <row r="307" spans="1:2" x14ac:dyDescent="0.3">
      <c r="A307" s="54">
        <v>2.7200455462092799</v>
      </c>
      <c r="B307" s="53">
        <v>0.51</v>
      </c>
    </row>
    <row r="308" spans="1:2" x14ac:dyDescent="0.3">
      <c r="A308" s="54">
        <v>2.7300476164915199</v>
      </c>
      <c r="B308" s="53">
        <v>0.51</v>
      </c>
    </row>
    <row r="309" spans="1:2" x14ac:dyDescent="0.3">
      <c r="A309" s="54">
        <v>2.74004968677376</v>
      </c>
      <c r="B309" s="53">
        <v>0.51</v>
      </c>
    </row>
    <row r="310" spans="1:2" x14ac:dyDescent="0.3">
      <c r="A310" s="54">
        <v>2.75</v>
      </c>
      <c r="B310" s="53">
        <v>0.51</v>
      </c>
    </row>
    <row r="311" spans="1:2" x14ac:dyDescent="0.3">
      <c r="A311" s="54">
        <v>2.75995031322624</v>
      </c>
      <c r="B311" s="53">
        <v>0.51</v>
      </c>
    </row>
    <row r="312" spans="1:2" x14ac:dyDescent="0.3">
      <c r="A312" s="54">
        <v>2.7699006264524799</v>
      </c>
      <c r="B312" s="53">
        <v>0.51</v>
      </c>
    </row>
    <row r="313" spans="1:2" x14ac:dyDescent="0.3">
      <c r="A313" s="54">
        <v>2.7798509396787199</v>
      </c>
      <c r="B313" s="53">
        <v>0.51</v>
      </c>
    </row>
    <row r="314" spans="1:2" x14ac:dyDescent="0.3">
      <c r="A314" s="54">
        <v>2.7898012529049598</v>
      </c>
      <c r="B314" s="53">
        <v>0.51</v>
      </c>
    </row>
    <row r="315" spans="1:2" x14ac:dyDescent="0.3">
      <c r="A315" s="54">
        <v>2.7997515661311998</v>
      </c>
      <c r="B315" s="53">
        <v>0.51</v>
      </c>
    </row>
    <row r="316" spans="1:2" x14ac:dyDescent="0.3">
      <c r="A316" s="54">
        <v>2.8097018793574402</v>
      </c>
      <c r="B316" s="53">
        <v>0.51</v>
      </c>
    </row>
    <row r="317" spans="1:2" x14ac:dyDescent="0.3">
      <c r="A317" s="54">
        <v>2.8196521925836802</v>
      </c>
      <c r="B317" s="53">
        <v>0.51</v>
      </c>
    </row>
    <row r="318" spans="1:2" x14ac:dyDescent="0.3">
      <c r="A318" s="54">
        <v>2.8296025058099201</v>
      </c>
      <c r="B318" s="53">
        <v>0.51</v>
      </c>
    </row>
    <row r="319" spans="1:2" x14ac:dyDescent="0.3">
      <c r="A319" s="54">
        <v>2.8395528190361601</v>
      </c>
      <c r="B319" s="53">
        <v>0.51</v>
      </c>
    </row>
    <row r="320" spans="1:2" x14ac:dyDescent="0.3">
      <c r="A320" s="54">
        <v>2.8495031322624</v>
      </c>
      <c r="B320" s="53">
        <v>0.51</v>
      </c>
    </row>
    <row r="321" spans="1:2" x14ac:dyDescent="0.3">
      <c r="A321" s="54">
        <v>2.85945344548864</v>
      </c>
      <c r="B321" s="53">
        <v>0.51</v>
      </c>
    </row>
    <row r="322" spans="1:2" x14ac:dyDescent="0.3">
      <c r="A322" s="54">
        <v>2.86940375871488</v>
      </c>
      <c r="B322" s="53">
        <v>0.51</v>
      </c>
    </row>
    <row r="323" spans="1:2" x14ac:dyDescent="0.3">
      <c r="A323" s="54">
        <v>2.8793540719411199</v>
      </c>
      <c r="B323" s="53">
        <v>0.51</v>
      </c>
    </row>
    <row r="324" spans="1:2" x14ac:dyDescent="0.3">
      <c r="A324" s="54">
        <v>2.8893043851673599</v>
      </c>
      <c r="B324" s="53">
        <v>0.51</v>
      </c>
    </row>
    <row r="325" spans="1:2" x14ac:dyDescent="0.3">
      <c r="A325" s="54">
        <v>2.8992546983935998</v>
      </c>
      <c r="B325" s="53">
        <v>0.51</v>
      </c>
    </row>
    <row r="326" spans="1:2" x14ac:dyDescent="0.3">
      <c r="A326" s="54">
        <v>2.9092050116198398</v>
      </c>
      <c r="B326" s="53">
        <v>0.51</v>
      </c>
    </row>
    <row r="327" spans="1:2" x14ac:dyDescent="0.3">
      <c r="A327" s="54">
        <v>2.9191553248460802</v>
      </c>
      <c r="B327" s="53">
        <v>0.51</v>
      </c>
    </row>
    <row r="328" spans="1:2" x14ac:dyDescent="0.3">
      <c r="A328" s="54">
        <v>2.9291056380723202</v>
      </c>
      <c r="B328" s="53">
        <v>0.51</v>
      </c>
    </row>
    <row r="329" spans="1:2" x14ac:dyDescent="0.3">
      <c r="A329" s="54">
        <v>2.9390559512985601</v>
      </c>
      <c r="B329" s="53">
        <v>0.51</v>
      </c>
    </row>
    <row r="330" spans="1:2" x14ac:dyDescent="0.3">
      <c r="A330" s="54">
        <v>2.9490062645248001</v>
      </c>
      <c r="B330" s="53">
        <v>0.51</v>
      </c>
    </row>
    <row r="331" spans="1:2" x14ac:dyDescent="0.3">
      <c r="A331" s="54">
        <v>2.95895657775104</v>
      </c>
      <c r="B331" s="53">
        <v>0.51</v>
      </c>
    </row>
    <row r="332" spans="1:2" x14ac:dyDescent="0.3">
      <c r="A332" s="54">
        <v>2.96890689097728</v>
      </c>
      <c r="B332" s="53">
        <v>0.51</v>
      </c>
    </row>
    <row r="333" spans="1:2" x14ac:dyDescent="0.3">
      <c r="A333" s="54">
        <v>2.97885720420352</v>
      </c>
      <c r="B333" s="53">
        <v>0.51</v>
      </c>
    </row>
    <row r="334" spans="1:2" x14ac:dyDescent="0.3">
      <c r="A334" s="54">
        <v>2.9888075174297599</v>
      </c>
      <c r="B334" s="53">
        <v>0.51</v>
      </c>
    </row>
    <row r="335" spans="1:2" x14ac:dyDescent="0.3">
      <c r="A335" s="54">
        <v>2.9987578306559999</v>
      </c>
      <c r="B335" s="53">
        <v>0.51</v>
      </c>
    </row>
    <row r="336" spans="1:2" x14ac:dyDescent="0.3">
      <c r="A336" s="54">
        <v>3.0087081438822398</v>
      </c>
      <c r="B336" s="53">
        <v>0.51</v>
      </c>
    </row>
    <row r="337" spans="1:2" x14ac:dyDescent="0.3">
      <c r="A337" s="54">
        <v>3.0186584571084798</v>
      </c>
      <c r="B337" s="53">
        <v>0.51</v>
      </c>
    </row>
    <row r="338" spans="1:2" x14ac:dyDescent="0.3">
      <c r="A338" s="54">
        <v>3.0286087703347202</v>
      </c>
      <c r="B338" s="53">
        <v>0.51</v>
      </c>
    </row>
    <row r="339" spans="1:2" x14ac:dyDescent="0.3">
      <c r="A339" s="54">
        <v>3.0385590835609602</v>
      </c>
      <c r="B339" s="53">
        <v>0.51</v>
      </c>
    </row>
    <row r="340" spans="1:2" x14ac:dyDescent="0.3">
      <c r="A340" s="54">
        <v>3.0485093967872001</v>
      </c>
      <c r="B340" s="53">
        <v>0.51</v>
      </c>
    </row>
    <row r="341" spans="1:2" x14ac:dyDescent="0.3">
      <c r="A341" s="54">
        <v>3.0584597100134401</v>
      </c>
      <c r="B341" s="53">
        <v>0.51</v>
      </c>
    </row>
    <row r="342" spans="1:2" x14ac:dyDescent="0.3">
      <c r="A342" s="54">
        <v>3.06841002323968</v>
      </c>
      <c r="B342" s="53">
        <v>0.51</v>
      </c>
    </row>
    <row r="343" spans="1:2" x14ac:dyDescent="0.3">
      <c r="A343" s="54">
        <v>3.07836033646592</v>
      </c>
      <c r="B343" s="53">
        <v>0.51</v>
      </c>
    </row>
    <row r="344" spans="1:2" x14ac:dyDescent="0.3">
      <c r="A344" s="54">
        <v>3.08831064969216</v>
      </c>
      <c r="B344" s="53">
        <v>0.51</v>
      </c>
    </row>
    <row r="345" spans="1:2" x14ac:dyDescent="0.3">
      <c r="A345" s="54">
        <v>3.0982609629183999</v>
      </c>
      <c r="B345" s="53">
        <v>0.51</v>
      </c>
    </row>
    <row r="346" spans="1:2" x14ac:dyDescent="0.3">
      <c r="A346" s="54">
        <v>3.1082112761446399</v>
      </c>
      <c r="B346" s="53">
        <v>0.51</v>
      </c>
    </row>
    <row r="347" spans="1:2" x14ac:dyDescent="0.3">
      <c r="A347" s="54">
        <v>3.1181615893708798</v>
      </c>
      <c r="B347" s="53">
        <v>0.51</v>
      </c>
    </row>
    <row r="348" spans="1:2" x14ac:dyDescent="0.3">
      <c r="A348" s="54">
        <v>3.1281119025971198</v>
      </c>
      <c r="B348" s="53">
        <v>0.51</v>
      </c>
    </row>
    <row r="349" spans="1:2" x14ac:dyDescent="0.3">
      <c r="A349" s="54">
        <v>3.1380622158233602</v>
      </c>
      <c r="B349" s="53">
        <v>0.51</v>
      </c>
    </row>
    <row r="350" spans="1:2" x14ac:dyDescent="0.3">
      <c r="A350" s="54">
        <v>3.1480125290496002</v>
      </c>
      <c r="B350" s="53">
        <v>0.51</v>
      </c>
    </row>
    <row r="351" spans="1:2" x14ac:dyDescent="0.3">
      <c r="A351" s="57"/>
      <c r="B351" s="9"/>
    </row>
  </sheetData>
  <mergeCells count="105">
    <mergeCell ref="A1:H1"/>
    <mergeCell ref="J1:S1"/>
    <mergeCell ref="A2:B2"/>
    <mergeCell ref="A3:B3"/>
    <mergeCell ref="A4:B4"/>
    <mergeCell ref="A5:B5"/>
    <mergeCell ref="A6:A9"/>
    <mergeCell ref="J6:R7"/>
    <mergeCell ref="J8:J9"/>
    <mergeCell ref="K8:N8"/>
    <mergeCell ref="O8:R8"/>
    <mergeCell ref="K9:L9"/>
    <mergeCell ref="M9:N9"/>
    <mergeCell ref="O9:P9"/>
    <mergeCell ref="Q9:R9"/>
    <mergeCell ref="M12:N12"/>
    <mergeCell ref="O12:P12"/>
    <mergeCell ref="Q12:R12"/>
    <mergeCell ref="K13:L13"/>
    <mergeCell ref="M13:N13"/>
    <mergeCell ref="O13:P13"/>
    <mergeCell ref="Q13:R13"/>
    <mergeCell ref="A10:A13"/>
    <mergeCell ref="K10:L10"/>
    <mergeCell ref="M10:N10"/>
    <mergeCell ref="O10:P10"/>
    <mergeCell ref="Q10:R10"/>
    <mergeCell ref="K11:L11"/>
    <mergeCell ref="M11:N11"/>
    <mergeCell ref="O11:P11"/>
    <mergeCell ref="Q11:R11"/>
    <mergeCell ref="K12:L12"/>
    <mergeCell ref="A18:A21"/>
    <mergeCell ref="K18:L18"/>
    <mergeCell ref="A23:H23"/>
    <mergeCell ref="A24:B24"/>
    <mergeCell ref="C24:H24"/>
    <mergeCell ref="J24:R24"/>
    <mergeCell ref="M16:N16"/>
    <mergeCell ref="O16:P16"/>
    <mergeCell ref="Q16:R16"/>
    <mergeCell ref="K17:L17"/>
    <mergeCell ref="M17:N17"/>
    <mergeCell ref="O17:P17"/>
    <mergeCell ref="Q17:R17"/>
    <mergeCell ref="A14:A17"/>
    <mergeCell ref="K14:L14"/>
    <mergeCell ref="M14:N14"/>
    <mergeCell ref="O14:P14"/>
    <mergeCell ref="Q14:R14"/>
    <mergeCell ref="K15:L15"/>
    <mergeCell ref="M15:N15"/>
    <mergeCell ref="O15:P15"/>
    <mergeCell ref="Q15:R15"/>
    <mergeCell ref="K16:L16"/>
    <mergeCell ref="A28:B28"/>
    <mergeCell ref="O28:P28"/>
    <mergeCell ref="Q28:R28"/>
    <mergeCell ref="A29:B29"/>
    <mergeCell ref="O29:P29"/>
    <mergeCell ref="Q29:R29"/>
    <mergeCell ref="A25:B25"/>
    <mergeCell ref="J25:J27"/>
    <mergeCell ref="K25:N25"/>
    <mergeCell ref="O25:R26"/>
    <mergeCell ref="A26:B26"/>
    <mergeCell ref="K26:L26"/>
    <mergeCell ref="M26:N26"/>
    <mergeCell ref="A27:B27"/>
    <mergeCell ref="O27:P27"/>
    <mergeCell ref="Q27:R27"/>
    <mergeCell ref="A32:B32"/>
    <mergeCell ref="O32:P32"/>
    <mergeCell ref="Q32:R32"/>
    <mergeCell ref="A33:B33"/>
    <mergeCell ref="O33:P33"/>
    <mergeCell ref="Q33:R33"/>
    <mergeCell ref="A30:B30"/>
    <mergeCell ref="O30:P30"/>
    <mergeCell ref="Q30:R30"/>
    <mergeCell ref="A31:B31"/>
    <mergeCell ref="O31:P31"/>
    <mergeCell ref="Q31:R31"/>
    <mergeCell ref="A36:B36"/>
    <mergeCell ref="O36:P36"/>
    <mergeCell ref="Q36:R36"/>
    <mergeCell ref="A37:B37"/>
    <mergeCell ref="A38:B38"/>
    <mergeCell ref="A40:H40"/>
    <mergeCell ref="J40:R41"/>
    <mergeCell ref="A34:B34"/>
    <mergeCell ref="O34:P34"/>
    <mergeCell ref="Q34:R34"/>
    <mergeCell ref="A35:B35"/>
    <mergeCell ref="O35:P35"/>
    <mergeCell ref="Q35:R35"/>
    <mergeCell ref="B48:B49"/>
    <mergeCell ref="C48:C49"/>
    <mergeCell ref="J48:O48"/>
    <mergeCell ref="A42:B42"/>
    <mergeCell ref="J42:K42"/>
    <mergeCell ref="A43:B43"/>
    <mergeCell ref="J43:K43"/>
    <mergeCell ref="A47:B47"/>
    <mergeCell ref="C47:D4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vt:lpstr>
      <vt:lpstr>Calculations</vt:lpstr>
      <vt:lpstr>Reinforcement Drawings</vt:lpstr>
      <vt:lpstr>Reinforcement details</vt:lpstr>
      <vt:lpstr>IS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 Thakur</dc:creator>
  <cp:lastModifiedBy>Anushka Thakur</cp:lastModifiedBy>
  <dcterms:created xsi:type="dcterms:W3CDTF">2024-04-07T18:05:30Z</dcterms:created>
  <dcterms:modified xsi:type="dcterms:W3CDTF">2024-04-25T20:56:44Z</dcterms:modified>
</cp:coreProperties>
</file>