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ivya website\"/>
    </mc:Choice>
  </mc:AlternateContent>
  <xr:revisionPtr revIDLastSave="0" documentId="13_ncr:1_{2FBB4F77-F115-44BB-9038-09525F4B253A}" xr6:coauthVersionLast="47" xr6:coauthVersionMax="47" xr10:uidLastSave="{00000000-0000-0000-0000-000000000000}"/>
  <bookViews>
    <workbookView xWindow="-108" yWindow="-108" windowWidth="23256" windowHeight="12456" activeTab="3" xr2:uid="{3A15C47B-5072-412C-B632-B31D3E5A8CD2}"/>
  </bookViews>
  <sheets>
    <sheet name="historical " sheetId="5" r:id="rId1"/>
    <sheet name="Data&gt; " sheetId="6" r:id="rId2"/>
    <sheet name="Data Sheet" sheetId="8" r:id="rId3"/>
    <sheet name="Intrinsic Growth" sheetId="12" r:id="rId4"/>
    <sheet name="Data Room&gt;" sheetId="11" r:id="rId5"/>
    <sheet name="Raw Fs" sheetId="10" r:id="rId6"/>
  </sheets>
  <definedNames>
    <definedName name="Beta">#REF!</definedName>
    <definedName name="Cost_of_Debt">#REF!</definedName>
    <definedName name="Cost_of_Sales">#REF!</definedName>
    <definedName name="CostofDebt">#REF!</definedName>
    <definedName name="Current_Sales">#REF!</definedName>
    <definedName name="Debt_Funding">#REF!</definedName>
    <definedName name="Debt_Value">#REF!</definedName>
    <definedName name="DebtValue">#REF!</definedName>
    <definedName name="Equity_Funding">#REF!</definedName>
    <definedName name="Equity_Value">#REF!</definedName>
    <definedName name="EquityValue">#REF!</definedName>
    <definedName name="ERP">#REF!</definedName>
    <definedName name="Gross_Margin">#REF!</definedName>
    <definedName name="Market_Returns">#REF!</definedName>
    <definedName name="MarketReturns">#REF!</definedName>
    <definedName name="Next_Year_Sales">#REF!</definedName>
    <definedName name="Post_Tax_Cost_of_Debt">#REF!</definedName>
    <definedName name="Risk_Free_Rate">#REF!</definedName>
    <definedName name="RiskFreeRate">#REF!</definedName>
    <definedName name="Sales_Growth">#REF!</definedName>
    <definedName name="Tax_Rate">#REF!</definedName>
    <definedName name="TaxRate">#REF!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4" i="5" l="1"/>
  <c r="K74" i="5"/>
  <c r="J74" i="5"/>
  <c r="I74" i="5"/>
  <c r="H74" i="5"/>
  <c r="G74" i="5"/>
  <c r="F74" i="5"/>
  <c r="E74" i="5"/>
  <c r="D74" i="5"/>
  <c r="C74" i="5"/>
  <c r="L73" i="5"/>
  <c r="K73" i="5"/>
  <c r="J73" i="5"/>
  <c r="I73" i="5"/>
  <c r="H73" i="5"/>
  <c r="G73" i="5"/>
  <c r="F73" i="5"/>
  <c r="E73" i="5"/>
  <c r="D73" i="5"/>
  <c r="C73" i="5"/>
  <c r="L72" i="5"/>
  <c r="K72" i="5"/>
  <c r="J72" i="5"/>
  <c r="I72" i="5"/>
  <c r="H72" i="5"/>
  <c r="G72" i="5"/>
  <c r="F72" i="5"/>
  <c r="E72" i="5"/>
  <c r="D72" i="5"/>
  <c r="C72" i="5"/>
  <c r="K59" i="12"/>
  <c r="J59" i="12"/>
  <c r="I59" i="12"/>
  <c r="H59" i="12"/>
  <c r="G59" i="12"/>
  <c r="K3" i="12"/>
  <c r="J3" i="12"/>
  <c r="J43" i="12" s="1"/>
  <c r="I3" i="12"/>
  <c r="I43" i="12" s="1"/>
  <c r="H3" i="12"/>
  <c r="H43" i="12" s="1"/>
  <c r="G3" i="12"/>
  <c r="G43" i="12" s="1"/>
  <c r="H45" i="12"/>
  <c r="I45" i="12"/>
  <c r="J45" i="12"/>
  <c r="K45" i="12"/>
  <c r="G45" i="12"/>
  <c r="H9" i="12"/>
  <c r="I9" i="12"/>
  <c r="J9" i="12"/>
  <c r="K9" i="12"/>
  <c r="G9" i="12"/>
  <c r="B9" i="12"/>
  <c r="H34" i="12"/>
  <c r="I34" i="12"/>
  <c r="J34" i="12"/>
  <c r="K34" i="12"/>
  <c r="G34" i="12"/>
  <c r="B3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G28" i="12"/>
  <c r="H28" i="12"/>
  <c r="I28" i="12"/>
  <c r="J28" i="12"/>
  <c r="K28" i="12"/>
  <c r="G29" i="12"/>
  <c r="H29" i="12"/>
  <c r="I29" i="12"/>
  <c r="J29" i="12"/>
  <c r="K29" i="12"/>
  <c r="G30" i="12"/>
  <c r="H30" i="12"/>
  <c r="I30" i="12"/>
  <c r="J30" i="12"/>
  <c r="K30" i="12"/>
  <c r="G31" i="12"/>
  <c r="H31" i="12"/>
  <c r="I31" i="12"/>
  <c r="J31" i="12"/>
  <c r="K31" i="12"/>
  <c r="H24" i="12"/>
  <c r="I24" i="12"/>
  <c r="J24" i="12"/>
  <c r="K24" i="12"/>
  <c r="G24" i="12"/>
  <c r="B25" i="12"/>
  <c r="B26" i="12"/>
  <c r="B27" i="12"/>
  <c r="B28" i="12"/>
  <c r="B29" i="12"/>
  <c r="B30" i="12"/>
  <c r="B31" i="12"/>
  <c r="B24" i="12"/>
  <c r="G16" i="12"/>
  <c r="H16" i="12"/>
  <c r="I16" i="12"/>
  <c r="J16" i="12"/>
  <c r="K16" i="12"/>
  <c r="G17" i="12"/>
  <c r="H17" i="12"/>
  <c r="I17" i="12"/>
  <c r="J17" i="12"/>
  <c r="K17" i="12"/>
  <c r="H15" i="12"/>
  <c r="I15" i="12"/>
  <c r="J15" i="12"/>
  <c r="K15" i="12"/>
  <c r="G15" i="12"/>
  <c r="B16" i="12"/>
  <c r="B17" i="12"/>
  <c r="B15" i="12"/>
  <c r="G11" i="12"/>
  <c r="H11" i="12"/>
  <c r="I11" i="12"/>
  <c r="J11" i="12"/>
  <c r="K11" i="12"/>
  <c r="H10" i="12"/>
  <c r="I10" i="12"/>
  <c r="J10" i="12"/>
  <c r="K10" i="12"/>
  <c r="G10" i="12"/>
  <c r="G8" i="12"/>
  <c r="H8" i="12"/>
  <c r="I8" i="12"/>
  <c r="J8" i="12"/>
  <c r="K8" i="12"/>
  <c r="H7" i="12"/>
  <c r="I7" i="12"/>
  <c r="J7" i="12"/>
  <c r="K7" i="12"/>
  <c r="G7" i="12"/>
  <c r="H6" i="12"/>
  <c r="I6" i="12"/>
  <c r="J6" i="12"/>
  <c r="K6" i="12"/>
  <c r="G6" i="12"/>
  <c r="B11" i="12"/>
  <c r="B10" i="12"/>
  <c r="K43" i="12"/>
  <c r="B8" i="12"/>
  <c r="B7" i="12"/>
  <c r="B6" i="12"/>
  <c r="D58" i="5"/>
  <c r="E58" i="5"/>
  <c r="F58" i="5"/>
  <c r="G58" i="5"/>
  <c r="H58" i="5"/>
  <c r="I58" i="5"/>
  <c r="J58" i="5"/>
  <c r="K58" i="5"/>
  <c r="L58" i="5"/>
  <c r="C58" i="5"/>
  <c r="C62" i="5"/>
  <c r="D62" i="5"/>
  <c r="E62" i="5"/>
  <c r="F62" i="5"/>
  <c r="G62" i="5"/>
  <c r="H62" i="5"/>
  <c r="I62" i="5"/>
  <c r="J62" i="5"/>
  <c r="K62" i="5"/>
  <c r="L62" i="5"/>
  <c r="C63" i="5"/>
  <c r="D63" i="5"/>
  <c r="E63" i="5"/>
  <c r="F63" i="5"/>
  <c r="G63" i="5"/>
  <c r="H63" i="5"/>
  <c r="I63" i="5"/>
  <c r="J63" i="5"/>
  <c r="K63" i="5"/>
  <c r="L63" i="5"/>
  <c r="D61" i="5"/>
  <c r="E61" i="5"/>
  <c r="F61" i="5"/>
  <c r="G61" i="5"/>
  <c r="H61" i="5"/>
  <c r="I61" i="5"/>
  <c r="J61" i="5"/>
  <c r="K61" i="5"/>
  <c r="L61" i="5"/>
  <c r="C61" i="5"/>
  <c r="D55" i="5"/>
  <c r="E55" i="5"/>
  <c r="F55" i="5"/>
  <c r="G55" i="5"/>
  <c r="H55" i="5"/>
  <c r="I55" i="5"/>
  <c r="J55" i="5"/>
  <c r="K55" i="5"/>
  <c r="L55" i="5"/>
  <c r="D56" i="5"/>
  <c r="E56" i="5"/>
  <c r="F56" i="5"/>
  <c r="G56" i="5"/>
  <c r="H56" i="5"/>
  <c r="I56" i="5"/>
  <c r="J56" i="5"/>
  <c r="K56" i="5"/>
  <c r="L56" i="5"/>
  <c r="D57" i="5"/>
  <c r="E57" i="5"/>
  <c r="F57" i="5"/>
  <c r="G57" i="5"/>
  <c r="H57" i="5"/>
  <c r="I57" i="5"/>
  <c r="J57" i="5"/>
  <c r="K57" i="5"/>
  <c r="L57" i="5"/>
  <c r="C56" i="5"/>
  <c r="C57" i="5"/>
  <c r="C55" i="5"/>
  <c r="D49" i="5"/>
  <c r="E49" i="5"/>
  <c r="F49" i="5"/>
  <c r="G49" i="5"/>
  <c r="H49" i="5"/>
  <c r="I49" i="5"/>
  <c r="J49" i="5"/>
  <c r="K49" i="5"/>
  <c r="L49" i="5"/>
  <c r="D50" i="5"/>
  <c r="E50" i="5"/>
  <c r="F50" i="5"/>
  <c r="G50" i="5"/>
  <c r="H50" i="5"/>
  <c r="I50" i="5"/>
  <c r="J50" i="5"/>
  <c r="K50" i="5"/>
  <c r="L50" i="5"/>
  <c r="D51" i="5"/>
  <c r="E51" i="5"/>
  <c r="F51" i="5"/>
  <c r="G51" i="5"/>
  <c r="H51" i="5"/>
  <c r="I51" i="5"/>
  <c r="J51" i="5"/>
  <c r="K51" i="5"/>
  <c r="L51" i="5"/>
  <c r="D52" i="5"/>
  <c r="E52" i="5"/>
  <c r="F52" i="5"/>
  <c r="G52" i="5"/>
  <c r="H52" i="5"/>
  <c r="I52" i="5"/>
  <c r="J52" i="5"/>
  <c r="K52" i="5"/>
  <c r="L52" i="5"/>
  <c r="D53" i="5"/>
  <c r="E53" i="5"/>
  <c r="F53" i="5"/>
  <c r="G53" i="5"/>
  <c r="H53" i="5"/>
  <c r="I53" i="5"/>
  <c r="J53" i="5"/>
  <c r="K53" i="5"/>
  <c r="L53" i="5"/>
  <c r="C50" i="5"/>
  <c r="C51" i="5"/>
  <c r="C52" i="5"/>
  <c r="C53" i="5"/>
  <c r="C49" i="5"/>
  <c r="D41" i="5"/>
  <c r="E41" i="5"/>
  <c r="F41" i="5"/>
  <c r="G41" i="5"/>
  <c r="H41" i="5"/>
  <c r="I41" i="5"/>
  <c r="J41" i="5"/>
  <c r="K41" i="5"/>
  <c r="L41" i="5"/>
  <c r="C41" i="5"/>
  <c r="D36" i="5"/>
  <c r="E36" i="5"/>
  <c r="F36" i="5"/>
  <c r="G36" i="5"/>
  <c r="H36" i="5"/>
  <c r="I36" i="5"/>
  <c r="J36" i="5"/>
  <c r="K36" i="5"/>
  <c r="L36" i="5"/>
  <c r="C36" i="5"/>
  <c r="M30" i="5"/>
  <c r="D30" i="5"/>
  <c r="E30" i="5"/>
  <c r="F30" i="5"/>
  <c r="G30" i="5"/>
  <c r="H30" i="5"/>
  <c r="I30" i="5"/>
  <c r="J30" i="5"/>
  <c r="K30" i="5"/>
  <c r="L30" i="5"/>
  <c r="C30" i="5"/>
  <c r="C24" i="5"/>
  <c r="M24" i="5"/>
  <c r="D24" i="5"/>
  <c r="E24" i="5"/>
  <c r="F24" i="5"/>
  <c r="G24" i="5"/>
  <c r="H24" i="5"/>
  <c r="I24" i="5"/>
  <c r="J24" i="5"/>
  <c r="K24" i="5"/>
  <c r="L24" i="5"/>
  <c r="M21" i="5"/>
  <c r="D21" i="5"/>
  <c r="E21" i="5"/>
  <c r="E22" i="5" s="1"/>
  <c r="F21" i="5"/>
  <c r="F22" i="5" s="1"/>
  <c r="G21" i="5"/>
  <c r="H21" i="5"/>
  <c r="I21" i="5"/>
  <c r="J21" i="5"/>
  <c r="K21" i="5"/>
  <c r="L21" i="5"/>
  <c r="C21" i="5"/>
  <c r="L15" i="5"/>
  <c r="K15" i="5"/>
  <c r="J15" i="5"/>
  <c r="I15" i="5"/>
  <c r="H15" i="5"/>
  <c r="G15" i="5"/>
  <c r="F15" i="5"/>
  <c r="E15" i="5"/>
  <c r="D15" i="5"/>
  <c r="C15" i="5"/>
  <c r="M9" i="5"/>
  <c r="D9" i="5"/>
  <c r="E9" i="5"/>
  <c r="F9" i="5"/>
  <c r="G9" i="5"/>
  <c r="G10" i="5" s="1"/>
  <c r="H9" i="5"/>
  <c r="H10" i="5" s="1"/>
  <c r="I9" i="5"/>
  <c r="J9" i="5"/>
  <c r="K9" i="5"/>
  <c r="K10" i="5" s="1"/>
  <c r="L9" i="5"/>
  <c r="C9" i="5"/>
  <c r="M6" i="5"/>
  <c r="D6" i="5"/>
  <c r="E6" i="5"/>
  <c r="F6" i="5"/>
  <c r="F7" i="5" s="1"/>
  <c r="G6" i="5"/>
  <c r="G7" i="5" s="1"/>
  <c r="H6" i="5"/>
  <c r="I6" i="5"/>
  <c r="J6" i="5"/>
  <c r="K6" i="5"/>
  <c r="L6" i="5"/>
  <c r="C6" i="5"/>
  <c r="L3" i="5"/>
  <c r="D3" i="5"/>
  <c r="E3" i="5"/>
  <c r="F3" i="5"/>
  <c r="G3" i="5"/>
  <c r="H3" i="5"/>
  <c r="I3" i="5"/>
  <c r="J3" i="5"/>
  <c r="K3" i="5"/>
  <c r="C3" i="5"/>
  <c r="B2" i="5"/>
  <c r="H59" i="5" l="1"/>
  <c r="C76" i="5"/>
  <c r="D59" i="5"/>
  <c r="D66" i="5" s="1"/>
  <c r="D68" i="5" s="1"/>
  <c r="L10" i="5"/>
  <c r="E16" i="5"/>
  <c r="F76" i="5"/>
  <c r="L76" i="5"/>
  <c r="I76" i="5"/>
  <c r="K76" i="5"/>
  <c r="L64" i="5"/>
  <c r="K64" i="5"/>
  <c r="L59" i="5"/>
  <c r="J64" i="5"/>
  <c r="L25" i="5"/>
  <c r="H22" i="5"/>
  <c r="K59" i="5"/>
  <c r="D64" i="5"/>
  <c r="J59" i="5"/>
  <c r="I10" i="5"/>
  <c r="C59" i="5"/>
  <c r="G12" i="12"/>
  <c r="K33" i="12"/>
  <c r="K35" i="12" s="1"/>
  <c r="J33" i="12"/>
  <c r="J35" i="12" s="1"/>
  <c r="I33" i="12"/>
  <c r="I35" i="12" s="1"/>
  <c r="G33" i="12"/>
  <c r="G35" i="12" s="1"/>
  <c r="H33" i="12"/>
  <c r="H35" i="12" s="1"/>
  <c r="H18" i="12"/>
  <c r="K18" i="12"/>
  <c r="I18" i="12"/>
  <c r="G18" i="12"/>
  <c r="J18" i="12"/>
  <c r="K12" i="12"/>
  <c r="J12" i="12"/>
  <c r="H12" i="12"/>
  <c r="I12" i="12"/>
  <c r="H64" i="5"/>
  <c r="F64" i="5"/>
  <c r="E64" i="5"/>
  <c r="F59" i="5"/>
  <c r="F66" i="5" s="1"/>
  <c r="F68" i="5" s="1"/>
  <c r="E59" i="5"/>
  <c r="E66" i="5" s="1"/>
  <c r="E68" i="5" s="1"/>
  <c r="G59" i="5"/>
  <c r="I64" i="5"/>
  <c r="I59" i="5"/>
  <c r="G64" i="5"/>
  <c r="C64" i="5"/>
  <c r="F10" i="5"/>
  <c r="D22" i="5"/>
  <c r="E10" i="5"/>
  <c r="E7" i="5"/>
  <c r="D10" i="5"/>
  <c r="H66" i="5"/>
  <c r="H68" i="5" s="1"/>
  <c r="K7" i="5"/>
  <c r="J10" i="5"/>
  <c r="I16" i="5"/>
  <c r="L16" i="5"/>
  <c r="D25" i="5"/>
  <c r="L22" i="5"/>
  <c r="J25" i="5"/>
  <c r="J16" i="5"/>
  <c r="K25" i="5"/>
  <c r="C16" i="5"/>
  <c r="K22" i="5"/>
  <c r="I25" i="5"/>
  <c r="H16" i="5"/>
  <c r="K16" i="5"/>
  <c r="C10" i="5"/>
  <c r="J22" i="5"/>
  <c r="D16" i="5"/>
  <c r="I22" i="5"/>
  <c r="G25" i="5"/>
  <c r="F25" i="5"/>
  <c r="G16" i="5"/>
  <c r="G22" i="5"/>
  <c r="H25" i="5"/>
  <c r="C25" i="5"/>
  <c r="E25" i="5"/>
  <c r="F16" i="5"/>
  <c r="M25" i="5"/>
  <c r="M22" i="5"/>
  <c r="M16" i="5"/>
  <c r="M10" i="5"/>
  <c r="C22" i="5"/>
  <c r="H7" i="5"/>
  <c r="J12" i="5"/>
  <c r="I12" i="5"/>
  <c r="D7" i="5"/>
  <c r="H12" i="5"/>
  <c r="H13" i="5" s="1"/>
  <c r="G12" i="5"/>
  <c r="G13" i="5" s="1"/>
  <c r="D12" i="5"/>
  <c r="D13" i="5" s="1"/>
  <c r="C12" i="5"/>
  <c r="C13" i="5" s="1"/>
  <c r="M7" i="5"/>
  <c r="F12" i="5"/>
  <c r="F13" i="5" s="1"/>
  <c r="E12" i="5"/>
  <c r="E13" i="5" s="1"/>
  <c r="L12" i="5"/>
  <c r="L13" i="5" s="1"/>
  <c r="L7" i="5"/>
  <c r="J7" i="5"/>
  <c r="M12" i="5"/>
  <c r="M13" i="5" s="1"/>
  <c r="K12" i="5"/>
  <c r="K13" i="5" s="1"/>
  <c r="I7" i="5"/>
  <c r="B6" i="8"/>
  <c r="E1" i="8"/>
  <c r="E76" i="5" l="1"/>
  <c r="J66" i="5"/>
  <c r="J68" i="5" s="1"/>
  <c r="G76" i="5"/>
  <c r="H76" i="5"/>
  <c r="K66" i="5"/>
  <c r="K68" i="5" s="1"/>
  <c r="D76" i="5"/>
  <c r="L66" i="5"/>
  <c r="L68" i="5" s="1"/>
  <c r="J76" i="5"/>
  <c r="C66" i="5"/>
  <c r="C68" i="5" s="1"/>
  <c r="I66" i="5"/>
  <c r="I68" i="5" s="1"/>
  <c r="G66" i="5"/>
  <c r="G68" i="5" s="1"/>
  <c r="G20" i="12"/>
  <c r="G37" i="12" s="1"/>
  <c r="J20" i="12"/>
  <c r="H20" i="12"/>
  <c r="I20" i="12"/>
  <c r="K20" i="12"/>
  <c r="I18" i="5"/>
  <c r="I13" i="5"/>
  <c r="J18" i="5"/>
  <c r="J13" i="5"/>
  <c r="J27" i="5"/>
  <c r="L18" i="5"/>
  <c r="E18" i="5"/>
  <c r="E19" i="5" s="1"/>
  <c r="G18" i="5"/>
  <c r="G19" i="5" s="1"/>
  <c r="F18" i="5"/>
  <c r="F19" i="5" s="1"/>
  <c r="K18" i="5"/>
  <c r="M18" i="5"/>
  <c r="M19" i="5" s="1"/>
  <c r="H18" i="5"/>
  <c r="G38" i="12" s="1"/>
  <c r="G48" i="12" s="1"/>
  <c r="D18" i="5"/>
  <c r="D19" i="5" s="1"/>
  <c r="C18" i="5"/>
  <c r="C19" i="5" s="1"/>
  <c r="J19" i="5" l="1"/>
  <c r="I38" i="12"/>
  <c r="I48" i="12" s="1"/>
  <c r="I50" i="12" s="1"/>
  <c r="I19" i="5"/>
  <c r="H38" i="12"/>
  <c r="H48" i="12" s="1"/>
  <c r="H50" i="12" s="1"/>
  <c r="H19" i="5"/>
  <c r="G50" i="12"/>
  <c r="K19" i="5"/>
  <c r="J38" i="12"/>
  <c r="J48" i="12" s="1"/>
  <c r="J50" i="12" s="1"/>
  <c r="G40" i="12"/>
  <c r="L19" i="5"/>
  <c r="K38" i="12"/>
  <c r="K48" i="12" s="1"/>
  <c r="K50" i="12" s="1"/>
  <c r="K54" i="12" s="1"/>
  <c r="K37" i="12"/>
  <c r="K46" i="12"/>
  <c r="K52" i="12" s="1"/>
  <c r="I37" i="12"/>
  <c r="I46" i="12"/>
  <c r="I52" i="12" s="1"/>
  <c r="I54" i="12" s="1"/>
  <c r="I61" i="12" s="1"/>
  <c r="H37" i="12"/>
  <c r="H40" i="12" s="1"/>
  <c r="H62" i="12" s="1"/>
  <c r="H46" i="12"/>
  <c r="H52" i="12" s="1"/>
  <c r="H54" i="12" s="1"/>
  <c r="H61" i="12" s="1"/>
  <c r="H64" i="12" s="1"/>
  <c r="J37" i="12"/>
  <c r="J46" i="12"/>
  <c r="J52" i="12" s="1"/>
  <c r="J33" i="5"/>
  <c r="J28" i="5"/>
  <c r="J31" i="5"/>
  <c r="I27" i="5"/>
  <c r="M27" i="5"/>
  <c r="K27" i="5"/>
  <c r="F27" i="5"/>
  <c r="C27" i="5"/>
  <c r="G27" i="5"/>
  <c r="D27" i="5"/>
  <c r="E27" i="5"/>
  <c r="H27" i="5"/>
  <c r="L27" i="5"/>
  <c r="K40" i="12" l="1"/>
  <c r="K62" i="12" s="1"/>
  <c r="I40" i="12"/>
  <c r="I62" i="12" s="1"/>
  <c r="I64" i="12" s="1"/>
  <c r="J40" i="12"/>
  <c r="J62" i="12" s="1"/>
  <c r="J54" i="12"/>
  <c r="J61" i="12" s="1"/>
  <c r="K61" i="12"/>
  <c r="K57" i="12"/>
  <c r="K56" i="12"/>
  <c r="L28" i="5"/>
  <c r="L33" i="5"/>
  <c r="L31" i="5"/>
  <c r="J38" i="5"/>
  <c r="J34" i="5"/>
  <c r="H28" i="5"/>
  <c r="H33" i="5"/>
  <c r="H31" i="5"/>
  <c r="E28" i="5"/>
  <c r="E33" i="5"/>
  <c r="E31" i="5"/>
  <c r="D28" i="5"/>
  <c r="D33" i="5"/>
  <c r="D31" i="5"/>
  <c r="G28" i="5"/>
  <c r="G33" i="5"/>
  <c r="G31" i="5"/>
  <c r="C28" i="5"/>
  <c r="C33" i="5"/>
  <c r="C38" i="5" s="1"/>
  <c r="C31" i="5"/>
  <c r="F28" i="5"/>
  <c r="F33" i="5"/>
  <c r="F31" i="5"/>
  <c r="K28" i="5"/>
  <c r="K33" i="5"/>
  <c r="K31" i="5"/>
  <c r="M28" i="5"/>
  <c r="M33" i="5"/>
  <c r="M34" i="5" s="1"/>
  <c r="M31" i="5"/>
  <c r="I33" i="5"/>
  <c r="I28" i="5"/>
  <c r="I31" i="5"/>
  <c r="K64" i="12" l="1"/>
  <c r="J64" i="12"/>
  <c r="K67" i="12" s="1"/>
  <c r="C42" i="5"/>
  <c r="C44" i="5" s="1"/>
  <c r="J42" i="5"/>
  <c r="J44" i="5" s="1"/>
  <c r="K38" i="5"/>
  <c r="K34" i="5"/>
  <c r="D38" i="5"/>
  <c r="D34" i="5"/>
  <c r="F38" i="5"/>
  <c r="F34" i="5"/>
  <c r="E38" i="5"/>
  <c r="E34" i="5"/>
  <c r="C34" i="5"/>
  <c r="H34" i="5"/>
  <c r="H38" i="5"/>
  <c r="I34" i="5"/>
  <c r="I38" i="5"/>
  <c r="G34" i="5"/>
  <c r="G38" i="5"/>
  <c r="L38" i="5"/>
  <c r="L34" i="5"/>
  <c r="K66" i="12" l="1"/>
  <c r="G39" i="5"/>
  <c r="G42" i="5"/>
  <c r="G44" i="5" s="1"/>
  <c r="K39" i="5"/>
  <c r="K42" i="5"/>
  <c r="K44" i="5" s="1"/>
  <c r="H42" i="5"/>
  <c r="H44" i="5" s="1"/>
  <c r="H39" i="5"/>
  <c r="E39" i="5"/>
  <c r="E42" i="5"/>
  <c r="E44" i="5" s="1"/>
  <c r="F39" i="5"/>
  <c r="F42" i="5"/>
  <c r="F44" i="5" s="1"/>
  <c r="L42" i="5"/>
  <c r="L44" i="5" s="1"/>
  <c r="L39" i="5"/>
  <c r="D39" i="5"/>
  <c r="D42" i="5"/>
  <c r="D44" i="5" s="1"/>
  <c r="I39" i="5"/>
  <c r="I42" i="5"/>
  <c r="I44" i="5" s="1"/>
  <c r="J39" i="5"/>
</calcChain>
</file>

<file path=xl/sharedStrings.xml><?xml version="1.0" encoding="utf-8"?>
<sst xmlns="http://schemas.openxmlformats.org/spreadsheetml/2006/main" count="222" uniqueCount="174">
  <si>
    <t>COGS</t>
  </si>
  <si>
    <t>EBITDA</t>
  </si>
  <si>
    <t>Depreciation % Sales</t>
  </si>
  <si>
    <t>Interest</t>
  </si>
  <si>
    <t xml:space="preserve"> </t>
  </si>
  <si>
    <t>#</t>
  </si>
  <si>
    <t>Total</t>
  </si>
  <si>
    <t>Gross Profit</t>
  </si>
  <si>
    <t>COMPANY NAME</t>
  </si>
  <si>
    <t>ASIAN PAINTS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</si>
  <si>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</si>
  <si>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</si>
  <si>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</si>
  <si>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</si>
  <si>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</si>
  <si>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</si>
  <si>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</si>
  <si>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</si>
  <si>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</si>
  <si>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</si>
  <si>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</si>
  <si>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</si>
  <si>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</si>
  <si>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</si>
  <si>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</si>
  <si>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</si>
  <si>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</si>
  <si>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</si>
  <si>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</si>
  <si>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</si>
  <si>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</si>
  <si>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</si>
  <si>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</si>
  <si>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</si>
  <si>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</si>
  <si>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</si>
  <si>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</si>
  <si>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</si>
  <si>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</si>
  <si>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</si>
  <si>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</si>
  <si>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</si>
  <si>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</si>
  <si>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</si>
  <si>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</si>
  <si>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</si>
  <si>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</si>
  <si>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</si>
  <si>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</si>
  <si>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</si>
  <si>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</si>
  <si>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</si>
  <si>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</si>
  <si>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</si>
  <si>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</si>
  <si>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</si>
  <si>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</si>
  <si>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</si>
  <si>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</si>
  <si>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</si>
  <si>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LTM</t>
  </si>
  <si>
    <t>Years</t>
  </si>
  <si>
    <t>Income Statement</t>
  </si>
  <si>
    <t xml:space="preserve">sales growth </t>
  </si>
  <si>
    <t>-</t>
  </si>
  <si>
    <t>COGS % sales</t>
  </si>
  <si>
    <t>S&amp;G EXP % Sales</t>
  </si>
  <si>
    <t>EBITDA Margins</t>
  </si>
  <si>
    <t>Interest % Sales</t>
  </si>
  <si>
    <t xml:space="preserve">Depreciation </t>
  </si>
  <si>
    <t>Gross Margins</t>
  </si>
  <si>
    <t xml:space="preserve">Earnings Before Tax </t>
  </si>
  <si>
    <t>EBT % Sales</t>
  </si>
  <si>
    <t>Effective Tax Rate</t>
  </si>
  <si>
    <t xml:space="preserve">Profit After Tax </t>
  </si>
  <si>
    <t>Net Margins</t>
  </si>
  <si>
    <t>No. of equity shares</t>
  </si>
  <si>
    <t xml:space="preserve">Selling &amp; General exp </t>
  </si>
  <si>
    <t>Dividend Per Share</t>
  </si>
  <si>
    <t xml:space="preserve">Earnings Per Share 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</si>
  <si>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</si>
  <si>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</si>
  <si>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</si>
  <si>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</si>
  <si>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</si>
  <si>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</si>
  <si>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</si>
  <si>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</si>
  <si>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</si>
  <si>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</si>
  <si>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Profit from operations</t>
  </si>
  <si>
    <t>Payables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</si>
  <si>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</si>
  <si>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</si>
  <si>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</si>
  <si>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</si>
  <si>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</si>
  <si>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</si>
  <si>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</si>
  <si>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</si>
  <si>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</si>
  <si>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</si>
  <si>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</si>
  <si>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</si>
  <si>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Other investing items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</si>
  <si>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</si>
  <si>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</si>
  <si>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</si>
  <si>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</si>
  <si>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</si>
  <si>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</si>
  <si>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</si>
  <si>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</si>
  <si>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</si>
  <si>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</si>
  <si>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>Cash Flow Statement</t>
  </si>
  <si>
    <t>Cash from Operating Activities</t>
  </si>
  <si>
    <t>Cash from Investing Activities</t>
  </si>
  <si>
    <t>Cash from Financing Activities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</si>
  <si>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</si>
  <si>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</si>
  <si>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</si>
  <si>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</si>
  <si>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</si>
  <si>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</si>
  <si>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</si>
  <si>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</si>
  <si>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</si>
  <si>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</si>
  <si>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</si>
  <si>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</si>
  <si>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</si>
  <si>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</si>
  <si>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</si>
  <si>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</si>
  <si>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</si>
  <si>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</si>
  <si>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</si>
  <si>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</si>
  <si>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</si>
  <si>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</si>
  <si>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</si>
  <si>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</si>
  <si>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</si>
  <si>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 -</t>
  </si>
  <si>
    <t>Receivables over 6m</t>
  </si>
  <si>
    <t>Receivables under 6m</t>
  </si>
  <si>
    <t>Prov for Doubtful</t>
  </si>
  <si>
    <t>Cash Equivalents</t>
  </si>
  <si>
    <t>Loans n Advances</t>
  </si>
  <si>
    <t>Other asset items</t>
  </si>
  <si>
    <t>Particular</t>
  </si>
  <si>
    <t>Calculation of ROIC</t>
  </si>
  <si>
    <t>Current Assets</t>
  </si>
  <si>
    <t>Total current Assets</t>
  </si>
  <si>
    <t>Current Liabilities</t>
  </si>
  <si>
    <t>Total current Liabilities</t>
  </si>
  <si>
    <t xml:space="preserve">Net Working Capital </t>
  </si>
  <si>
    <t>Non Current Assets</t>
  </si>
  <si>
    <t>Net Non Current Assets</t>
  </si>
  <si>
    <t>Invested Capital</t>
  </si>
  <si>
    <t>EBIT</t>
  </si>
  <si>
    <t>ROIC</t>
  </si>
  <si>
    <t>Calculation of Reinvestment Rate</t>
  </si>
  <si>
    <t>Net Capex</t>
  </si>
  <si>
    <t>Change in working capital</t>
  </si>
  <si>
    <t>Marginal Tax Rate</t>
  </si>
  <si>
    <t>Reinvestment</t>
  </si>
  <si>
    <t>EBIT(1-T)</t>
  </si>
  <si>
    <t>Reinvestment Rate</t>
  </si>
  <si>
    <t>4 Year Average</t>
  </si>
  <si>
    <t>4 Year Median</t>
  </si>
  <si>
    <t>Intrinsic Growth</t>
  </si>
  <si>
    <t>Calculation of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</si>
</sst>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0" formatCode="[$-409]mmm\-yy;@"/>
    <numFmt numFmtId="171" formatCode="_(* #,##0.00_);_(* \(#,##0.00\);_(* &quot;-&quot;??_);_(@_)"/>
    <numFmt numFmtId="172" formatCode="&quot;₹&quot;\ #,##0.0;&quot;₹&quot;\ \(#,##0.0\);\-"/>
    <numFmt numFmtId="173" formatCode="&quot;₹&quot;\ #,##0.00"/>
    <numFmt numFmtId="174" formatCode="&quot;₹&quot;\ #,##0.0;\(&quot;₹&quot;\ #,##0.0\);\-"/>
    <numFmt numFmtId="175" formatCode="&quot;₹&quot;\ #,##0.00;\(&quot;₹&quot;\ #,##0.00\);\-"/>
    <numFmt numFmtId="176" formatCode="#,##0.00;\(\ #,##0.00\);\-"/>
    <numFmt numFmtId="177" formatCode="#,##0.0;\(#,##0.0\);\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1"/>
      <color rgb="FF22222F"/>
      <name val="Calibri"/>
      <family val="2"/>
      <scheme val="minor"/>
    </font>
    <font>
      <sz val="11"/>
      <color rgb="FF3333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002060"/>
      </top>
      <bottom style="thick">
        <color rgb="FF002060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4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2" borderId="0" xfId="0" applyFill="1"/>
    <xf numFmtId="0" fontId="3" fillId="0" borderId="0" xfId="0" applyFont="1"/>
    <xf numFmtId="0" fontId="2" fillId="2" borderId="0" xfId="0" applyFont="1" applyFill="1"/>
    <xf numFmtId="0" fontId="0" fillId="0" borderId="1" xfId="0" applyBorder="1"/>
    <xf numFmtId="0" fontId="5" fillId="3" borderId="0" xfId="0" applyFont="1" applyFill="1"/>
    <xf numFmtId="43" fontId="2" fillId="0" borderId="0" xfId="2" applyFont="1" applyBorder="1"/>
    <xf numFmtId="43" fontId="0" fillId="0" borderId="0" xfId="2" applyFont="1" applyBorder="1"/>
    <xf numFmtId="170" fontId="5" fillId="5" borderId="0" xfId="2" applyNumberFormat="1" applyFont="1" applyFill="1" applyBorder="1"/>
    <xf numFmtId="170" fontId="5" fillId="5" borderId="0" xfId="0" applyNumberFormat="1" applyFont="1" applyFill="1" applyAlignment="1">
      <alignment horizontal="center"/>
    </xf>
    <xf numFmtId="170" fontId="4" fillId="0" borderId="0" xfId="2" applyNumberFormat="1" applyFont="1" applyFill="1" applyBorder="1"/>
    <xf numFmtId="43" fontId="1" fillId="0" borderId="0" xfId="2" applyFont="1" applyBorder="1"/>
    <xf numFmtId="171" fontId="0" fillId="0" borderId="0" xfId="2" applyNumberFormat="1" applyFont="1" applyBorder="1"/>
    <xf numFmtId="17" fontId="5" fillId="3" borderId="0" xfId="0" applyNumberFormat="1" applyFont="1" applyFill="1"/>
    <xf numFmtId="17" fontId="5" fillId="3" borderId="0" xfId="0" applyNumberFormat="1" applyFont="1" applyFill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10" fontId="9" fillId="0" borderId="0" xfId="1" applyNumberFormat="1" applyFont="1"/>
    <xf numFmtId="172" fontId="0" fillId="0" borderId="0" xfId="0" applyNumberFormat="1" applyAlignment="1">
      <alignment wrapText="1"/>
    </xf>
    <xf numFmtId="0" fontId="0" fillId="0" borderId="0" xfId="0" applyAlignment="1">
      <alignment wrapText="1"/>
    </xf>
    <xf numFmtId="173" fontId="0" fillId="0" borderId="0" xfId="0" applyNumberFormat="1"/>
    <xf numFmtId="174" fontId="0" fillId="0" borderId="0" xfId="0" applyNumberFormat="1"/>
    <xf numFmtId="2" fontId="0" fillId="0" borderId="0" xfId="0" applyNumberFormat="1"/>
    <xf numFmtId="175" fontId="0" fillId="0" borderId="0" xfId="0" applyNumberFormat="1"/>
    <xf numFmtId="43" fontId="2" fillId="0" borderId="0" xfId="2" applyFont="1" applyFill="1" applyBorder="1"/>
    <xf numFmtId="175" fontId="2" fillId="0" borderId="0" xfId="0" applyNumberFormat="1" applyFont="1"/>
    <xf numFmtId="17" fontId="0" fillId="0" borderId="0" xfId="0" applyNumberFormat="1"/>
    <xf numFmtId="3" fontId="0" fillId="0" borderId="0" xfId="0" applyNumberFormat="1"/>
    <xf numFmtId="0" fontId="10" fillId="6" borderId="0" xfId="0" applyFont="1" applyFill="1" applyAlignment="1">
      <alignment horizontal="left" vertical="center"/>
    </xf>
    <xf numFmtId="17" fontId="5" fillId="7" borderId="0" xfId="0" applyNumberFormat="1" applyFont="1" applyFill="1"/>
    <xf numFmtId="17" fontId="5" fillId="0" borderId="0" xfId="0" applyNumberFormat="1" applyFont="1"/>
    <xf numFmtId="0" fontId="2" fillId="0" borderId="2" xfId="0" applyFont="1" applyBorder="1"/>
    <xf numFmtId="176" fontId="0" fillId="0" borderId="7" xfId="0" applyNumberFormat="1" applyBorder="1"/>
    <xf numFmtId="176" fontId="2" fillId="0" borderId="8" xfId="0" applyNumberFormat="1" applyFont="1" applyBorder="1"/>
    <xf numFmtId="176" fontId="0" fillId="0" borderId="9" xfId="0" applyNumberFormat="1" applyBorder="1"/>
    <xf numFmtId="176" fontId="2" fillId="0" borderId="2" xfId="0" applyNumberFormat="1" applyFont="1" applyBorder="1"/>
    <xf numFmtId="0" fontId="5" fillId="7" borderId="0" xfId="0" applyFont="1" applyFill="1"/>
    <xf numFmtId="176" fontId="0" fillId="0" borderId="0" xfId="0" applyNumberFormat="1"/>
    <xf numFmtId="0" fontId="2" fillId="0" borderId="1" xfId="0" applyFont="1" applyBorder="1"/>
    <xf numFmtId="0" fontId="0" fillId="0" borderId="10" xfId="0" applyBorder="1"/>
    <xf numFmtId="176" fontId="0" fillId="0" borderId="10" xfId="0" applyNumberFormat="1" applyBorder="1"/>
    <xf numFmtId="4" fontId="0" fillId="0" borderId="0" xfId="0" applyNumberFormat="1"/>
    <xf numFmtId="0" fontId="2" fillId="0" borderId="11" xfId="0" applyFont="1" applyBorder="1"/>
    <xf numFmtId="0" fontId="0" fillId="0" borderId="11" xfId="0" applyBorder="1"/>
    <xf numFmtId="0" fontId="6" fillId="0" borderId="0" xfId="0" applyFont="1"/>
    <xf numFmtId="10" fontId="0" fillId="0" borderId="11" xfId="0" applyNumberFormat="1" applyBorder="1"/>
    <xf numFmtId="177" fontId="0" fillId="0" borderId="10" xfId="0" applyNumberFormat="1" applyBorder="1"/>
    <xf numFmtId="177" fontId="0" fillId="0" borderId="0" xfId="0" applyNumberFormat="1"/>
    <xf numFmtId="177" fontId="2" fillId="0" borderId="1" xfId="0" applyNumberFormat="1" applyFont="1" applyBorder="1"/>
    <xf numFmtId="177" fontId="2" fillId="0" borderId="11" xfId="0" applyNumberFormat="1" applyFont="1" applyBorder="1"/>
    <xf numFmtId="177" fontId="0" fillId="0" borderId="12" xfId="0" applyNumberFormat="1" applyBorder="1"/>
    <xf numFmtId="177" fontId="2" fillId="0" borderId="0" xfId="0" applyNumberFormat="1" applyFont="1"/>
    <xf numFmtId="177" fontId="0" fillId="0" borderId="11" xfId="0" applyNumberFormat="1" applyBorder="1"/>
    <xf numFmtId="177" fontId="0" fillId="0" borderId="1" xfId="0" applyNumberFormat="1" applyBorder="1"/>
    <xf numFmtId="10" fontId="11" fillId="0" borderId="10" xfId="0" applyNumberFormat="1" applyFont="1" applyBorder="1"/>
    <xf numFmtId="10" fontId="0" fillId="0" borderId="10" xfId="0" applyNumberFormat="1" applyBorder="1"/>
    <xf numFmtId="0" fontId="0" fillId="0" borderId="13" xfId="0" applyBorder="1"/>
    <xf numFmtId="177" fontId="0" fillId="0" borderId="13" xfId="0" applyNumberFormat="1" applyBorder="1"/>
    <xf numFmtId="10" fontId="2" fillId="0" borderId="11" xfId="1" applyNumberFormat="1" applyFont="1" applyBorder="1"/>
    <xf numFmtId="0" fontId="2" fillId="0" borderId="3" xfId="0" applyFont="1" applyBorder="1"/>
    <xf numFmtId="10" fontId="2" fillId="0" borderId="4" xfId="0" applyNumberFormat="1" applyFont="1" applyBorder="1"/>
    <xf numFmtId="0" fontId="2" fillId="0" borderId="5" xfId="0" applyFont="1" applyBorder="1"/>
    <xf numFmtId="10" fontId="2" fillId="0" borderId="6" xfId="0" applyNumberFormat="1" applyFont="1" applyBorder="1"/>
    <xf numFmtId="10" fontId="2" fillId="0" borderId="11" xfId="0" applyNumberFormat="1" applyFont="1" applyBorder="1"/>
    <xf numFmtId="0" fontId="5" fillId="3" borderId="0" xfId="0" applyFont="1" applyFill="1" applyAlignment="1">
      <alignment horizontal="center"/>
    </xf>
    <xf numFmtId="43" fontId="7" fillId="0" borderId="0" xfId="3" applyNumberFormat="1" applyBorder="1" applyAlignment="1" applyProtection="1">
      <alignment horizontal="center"/>
    </xf>
    <xf numFmtId="43" fontId="5" fillId="4" borderId="0" xfId="4" applyNumberFormat="1" applyFont="1" applyBorder="1" applyAlignment="1">
      <alignment horizontal="center"/>
    </xf>
  </cellXfs>
  <cellStyles count="5">
    <cellStyle name="Accent6 2" xfId="4" xr:uid="{BB0DE84F-241E-4597-804F-FFDAB40B7DAD}"/>
    <cellStyle name="Comma" xfId="2" builtinId="3"/>
    <cellStyle name="Hyperlink 2" xfId="3" xr:uid="{C4B878FC-E340-4A0D-857B-545AC47E955A}"/>
    <cellStyle name="Normal" xfId="0" builtinId="0"/>
    <cellStyle name="Percent" xfId="1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4393-0DF4-43FE-BB77-E97C6417EC98}">
  <sheetPr>
    <tabColor theme="9" tint="-0.499984740745262"/>
    <pageSetUpPr autoPageBreaks="0"/>
  </sheetPr>
  <dimension ref="A1:N76"/>
  <sheetViews>
    <sheetView showGridLines="0" zoomScaleNormal="100" workbookViewId="0">
      <pane ySplit="4" topLeftCell="A5" activePane="bottomLeft" state="frozen"/>
      <selection pane="bottomLeft" activeCell="B19" sqref="B19"/>
    </sheetView>
  </sheetViews>
  <sheetFormatPr defaultRowHeight="14.4" x14ac:dyDescent="0.3"/>
  <cols>
    <col min="1" max="1" width="1.88671875" customWidth="1"/>
    <col min="2" max="2" width="31.109375" customWidth="1"/>
    <col min="3" max="14" width="12.77734375" customWidth="1"/>
  </cols>
  <sheetData>
    <row r="1" spans="1:14" x14ac:dyDescent="0.3">
      <c r="C1" t="s">
        <v>4</v>
      </c>
    </row>
    <row r="2" spans="1:14" x14ac:dyDescent="0.3">
      <c r="B2" s="66" t="str">
        <f>"Historical Financial Statement -"&amp; 'Data Sheet'!B1</f>
        <v>Historical Financial Statement -ASIAN PAINTS LTD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4" x14ac:dyDescent="0.3">
      <c r="B3" s="7" t="s">
        <v>61</v>
      </c>
      <c r="C3" s="15">
        <f>'Data Sheet'!B16</f>
        <v>42460</v>
      </c>
      <c r="D3" s="15">
        <f>'Data Sheet'!C16</f>
        <v>42825</v>
      </c>
      <c r="E3" s="15">
        <f>'Data Sheet'!D16</f>
        <v>43190</v>
      </c>
      <c r="F3" s="15">
        <f>'Data Sheet'!E16</f>
        <v>43555</v>
      </c>
      <c r="G3" s="15">
        <f>'Data Sheet'!F16</f>
        <v>43921</v>
      </c>
      <c r="H3" s="15">
        <f>'Data Sheet'!G16</f>
        <v>44286</v>
      </c>
      <c r="I3" s="15">
        <f>'Data Sheet'!H16</f>
        <v>44651</v>
      </c>
      <c r="J3" s="15">
        <f>'Data Sheet'!I16</f>
        <v>45016</v>
      </c>
      <c r="K3" s="15">
        <f>'Data Sheet'!J16</f>
        <v>45382</v>
      </c>
      <c r="L3" s="15">
        <f>'Data Sheet'!K16</f>
        <v>45747</v>
      </c>
      <c r="M3" s="16" t="s">
        <v>60</v>
      </c>
    </row>
    <row r="4" spans="1:14" x14ac:dyDescent="0.3">
      <c r="A4" t="s">
        <v>5</v>
      </c>
      <c r="B4" s="5" t="s">
        <v>62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x14ac:dyDescent="0.3">
      <c r="B5" s="1"/>
    </row>
    <row r="6" spans="1:14" x14ac:dyDescent="0.3">
      <c r="B6" t="s">
        <v>20</v>
      </c>
      <c r="C6" s="20">
        <f>IFERROR('Data Sheet'!B17,0)</f>
        <v>14271.49</v>
      </c>
      <c r="D6" s="20">
        <f>IFERROR('Data Sheet'!C17,0)</f>
        <v>15061.99</v>
      </c>
      <c r="E6" s="20">
        <f>IFERROR('Data Sheet'!D17,0)</f>
        <v>16824.55</v>
      </c>
      <c r="F6" s="20">
        <f>IFERROR('Data Sheet'!E17,0)</f>
        <v>19240.13</v>
      </c>
      <c r="G6" s="20">
        <f>IFERROR('Data Sheet'!F17,0)</f>
        <v>20211.25</v>
      </c>
      <c r="H6" s="20">
        <f>IFERROR('Data Sheet'!G17,0)</f>
        <v>21712.79</v>
      </c>
      <c r="I6" s="20">
        <f>IFERROR('Data Sheet'!H17,0)</f>
        <v>29101.279999999999</v>
      </c>
      <c r="J6" s="20">
        <f>IFERROR('Data Sheet'!I17,0)</f>
        <v>34488.589999999997</v>
      </c>
      <c r="K6" s="20">
        <f>IFERROR('Data Sheet'!J17,0)</f>
        <v>35494.730000000003</v>
      </c>
      <c r="L6" s="20">
        <f>IFERROR('Data Sheet'!K17,0)</f>
        <v>33905.620000000003</v>
      </c>
      <c r="M6" s="20">
        <f>IFERROR(SUM('Data Sheet'!H42:K42),0)</f>
        <v>33874.44</v>
      </c>
      <c r="N6" s="21"/>
    </row>
    <row r="7" spans="1:14" x14ac:dyDescent="0.3">
      <c r="B7" s="17" t="s">
        <v>63</v>
      </c>
      <c r="C7" s="18" t="s">
        <v>64</v>
      </c>
      <c r="D7" s="19">
        <f>(D6/C6)-1</f>
        <v>5.5390151974320734E-2</v>
      </c>
      <c r="E7" s="19">
        <f t="shared" ref="E7:M7" si="0">(E6/D6)-1</f>
        <v>0.11702039371955486</v>
      </c>
      <c r="F7" s="19">
        <f t="shared" si="0"/>
        <v>0.14357471670861943</v>
      </c>
      <c r="G7" s="19">
        <f t="shared" si="0"/>
        <v>5.0473671435691925E-2</v>
      </c>
      <c r="H7" s="19">
        <f t="shared" si="0"/>
        <v>7.4292287711052118E-2</v>
      </c>
      <c r="I7" s="19">
        <f t="shared" si="0"/>
        <v>0.34028284711453471</v>
      </c>
      <c r="J7" s="19">
        <f t="shared" si="0"/>
        <v>0.18512278497715551</v>
      </c>
      <c r="K7" s="19">
        <f t="shared" si="0"/>
        <v>2.9173126532572313E-2</v>
      </c>
      <c r="L7" s="19">
        <f t="shared" si="0"/>
        <v>-4.4770308155605121E-2</v>
      </c>
      <c r="M7" s="19">
        <f t="shared" si="0"/>
        <v>-9.1961155702213748E-4</v>
      </c>
    </row>
    <row r="9" spans="1:14" x14ac:dyDescent="0.3">
      <c r="B9" t="s">
        <v>0</v>
      </c>
      <c r="C9" s="20">
        <f>IFERROR(SUM('Data Sheet'!B18,'Data Sheet'!B20,'Data Sheet'!B21,'Data Sheet'!B22)-1*'Data Sheet'!B19,0)</f>
        <v>9413.8399999999983</v>
      </c>
      <c r="D9" s="20">
        <f>IFERROR(SUM('Data Sheet'!C18,'Data Sheet'!C20,'Data Sheet'!C21,'Data Sheet'!C22)-1*'Data Sheet'!C19,0)</f>
        <v>9732.66</v>
      </c>
      <c r="E9" s="20">
        <f>IFERROR(SUM('Data Sheet'!D18,'Data Sheet'!D20,'Data Sheet'!D21,'Data Sheet'!D22)-1*'Data Sheet'!D19,0)</f>
        <v>11194.169999999998</v>
      </c>
      <c r="F9" s="20">
        <f>IFERROR(SUM('Data Sheet'!E18,'Data Sheet'!E20,'Data Sheet'!E21,'Data Sheet'!E22)-1*'Data Sheet'!E19,0)</f>
        <v>12905.81</v>
      </c>
      <c r="G9" s="20">
        <f>IFERROR(SUM('Data Sheet'!F18,'Data Sheet'!F20,'Data Sheet'!F21,'Data Sheet'!F22)-1*'Data Sheet'!F19,0)</f>
        <v>13158.020000000002</v>
      </c>
      <c r="H9" s="20">
        <f>IFERROR(SUM('Data Sheet'!G18,'Data Sheet'!G20,'Data Sheet'!G21,'Data Sheet'!G22)-1*'Data Sheet'!G19,0)</f>
        <v>14035.069999999998</v>
      </c>
      <c r="I9" s="20">
        <f>IFERROR(SUM('Data Sheet'!H18,'Data Sheet'!H20,'Data Sheet'!H21,'Data Sheet'!H22)-1*'Data Sheet'!H19,0)</f>
        <v>20590.57</v>
      </c>
      <c r="J9" s="20">
        <f>IFERROR(SUM('Data Sheet'!I18,'Data Sheet'!I20,'Data Sheet'!I21,'Data Sheet'!I22)-1*'Data Sheet'!I19,0)</f>
        <v>23766.7</v>
      </c>
      <c r="K9" s="20">
        <f>IFERROR(SUM('Data Sheet'!J18,'Data Sheet'!J20,'Data Sheet'!J21,'Data Sheet'!J22)-1*'Data Sheet'!J19,0)</f>
        <v>23009.99</v>
      </c>
      <c r="L9" s="20">
        <f>IFERROR(SUM('Data Sheet'!K18,'Data Sheet'!K20,'Data Sheet'!K21,'Data Sheet'!K22)-1*'Data Sheet'!K19,0)</f>
        <v>22741.27</v>
      </c>
      <c r="M9" s="20">
        <f>IFERROR(SUM('Data Sheet'!H43:K43),0)</f>
        <v>27937.03</v>
      </c>
    </row>
    <row r="10" spans="1:14" x14ac:dyDescent="0.3">
      <c r="B10" s="17" t="s">
        <v>65</v>
      </c>
      <c r="C10" s="19">
        <f>C9/C6</f>
        <v>0.65962558919916547</v>
      </c>
      <c r="D10" s="19">
        <f t="shared" ref="D10:M10" si="1">D9/D6</f>
        <v>0.64617357998511482</v>
      </c>
      <c r="E10" s="19">
        <f t="shared" si="1"/>
        <v>0.66534736441687881</v>
      </c>
      <c r="F10" s="19">
        <f t="shared" si="1"/>
        <v>0.67077561326248825</v>
      </c>
      <c r="G10" s="19">
        <f t="shared" si="1"/>
        <v>0.65102455315727636</v>
      </c>
      <c r="H10" s="19">
        <f t="shared" si="1"/>
        <v>0.64639643270164715</v>
      </c>
      <c r="I10" s="19">
        <f t="shared" si="1"/>
        <v>0.70754860267314701</v>
      </c>
      <c r="J10" s="19">
        <f t="shared" si="1"/>
        <v>0.68911776329504926</v>
      </c>
      <c r="K10" s="19">
        <f t="shared" si="1"/>
        <v>0.64826496778535858</v>
      </c>
      <c r="L10" s="19">
        <f t="shared" si="1"/>
        <v>0.67072272974214886</v>
      </c>
      <c r="M10" s="19">
        <f t="shared" si="1"/>
        <v>0.8247230064910297</v>
      </c>
    </row>
    <row r="12" spans="1:14" x14ac:dyDescent="0.3">
      <c r="B12" t="s">
        <v>7</v>
      </c>
      <c r="C12" s="22">
        <f>C6-C9</f>
        <v>4857.6500000000015</v>
      </c>
      <c r="D12" s="22">
        <f t="shared" ref="D12:M12" si="2">D6-D9</f>
        <v>5329.33</v>
      </c>
      <c r="E12" s="22">
        <f t="shared" si="2"/>
        <v>5630.380000000001</v>
      </c>
      <c r="F12" s="22">
        <f t="shared" si="2"/>
        <v>6334.3200000000015</v>
      </c>
      <c r="G12" s="22">
        <f t="shared" si="2"/>
        <v>7053.2299999999977</v>
      </c>
      <c r="H12" s="22">
        <f t="shared" si="2"/>
        <v>7677.720000000003</v>
      </c>
      <c r="I12" s="22">
        <f t="shared" si="2"/>
        <v>8510.7099999999991</v>
      </c>
      <c r="J12" s="22">
        <f t="shared" si="2"/>
        <v>10721.889999999996</v>
      </c>
      <c r="K12" s="22">
        <f t="shared" si="2"/>
        <v>12484.740000000002</v>
      </c>
      <c r="L12" s="22">
        <f t="shared" si="2"/>
        <v>11164.350000000002</v>
      </c>
      <c r="M12" s="22">
        <f t="shared" si="2"/>
        <v>5937.4100000000035</v>
      </c>
    </row>
    <row r="13" spans="1:14" x14ac:dyDescent="0.3">
      <c r="B13" s="17" t="s">
        <v>70</v>
      </c>
      <c r="C13" s="19">
        <f>C12/C6</f>
        <v>0.34037441080083447</v>
      </c>
      <c r="D13" s="19">
        <f t="shared" ref="D13:M13" si="3">D12/D6</f>
        <v>0.35382642001488518</v>
      </c>
      <c r="E13" s="19">
        <f t="shared" si="3"/>
        <v>0.33465263558312119</v>
      </c>
      <c r="F13" s="19">
        <f t="shared" si="3"/>
        <v>0.3292243867375117</v>
      </c>
      <c r="G13" s="19">
        <f t="shared" si="3"/>
        <v>0.34897544684272364</v>
      </c>
      <c r="H13" s="19">
        <f t="shared" si="3"/>
        <v>0.35360356729835285</v>
      </c>
      <c r="I13" s="19">
        <f t="shared" si="3"/>
        <v>0.29245139732685294</v>
      </c>
      <c r="J13" s="19">
        <f t="shared" si="3"/>
        <v>0.31088223670495074</v>
      </c>
      <c r="K13" s="19">
        <f t="shared" si="3"/>
        <v>0.35173503221464147</v>
      </c>
      <c r="L13" s="19">
        <f t="shared" si="3"/>
        <v>0.32927727025785108</v>
      </c>
      <c r="M13" s="19">
        <f t="shared" si="3"/>
        <v>0.17527699350897027</v>
      </c>
    </row>
    <row r="15" spans="1:14" x14ac:dyDescent="0.3">
      <c r="B15" t="s">
        <v>77</v>
      </c>
      <c r="C15" s="22">
        <f>IFERROR(SUM('Data Sheet'!B23:B24),0)</f>
        <v>2132.61</v>
      </c>
      <c r="D15" s="22">
        <f>IFERROR(SUM('Data Sheet'!C23:C24),0)</f>
        <v>2335.5699999999997</v>
      </c>
      <c r="E15" s="22">
        <f>IFERROR(SUM('Data Sheet'!D23:D24),0)</f>
        <v>2426.37</v>
      </c>
      <c r="F15" s="22">
        <f>IFERROR(SUM('Data Sheet'!E23:E24),0)</f>
        <v>2569.38</v>
      </c>
      <c r="G15" s="22">
        <f>IFERROR(SUM('Data Sheet'!F23:F24),0)</f>
        <v>2896.4100000000003</v>
      </c>
      <c r="H15" s="22">
        <f>IFERROR(SUM('Data Sheet'!G23:G24),0)</f>
        <v>2822.12</v>
      </c>
      <c r="I15" s="22">
        <f>IFERROR(SUM('Data Sheet'!H23:H24),0)</f>
        <v>3707.1</v>
      </c>
      <c r="J15" s="22">
        <f>IFERROR(SUM('Data Sheet'!I23:I24),0)</f>
        <v>4462.05</v>
      </c>
      <c r="K15" s="22">
        <f>IFERROR(SUM('Data Sheet'!J23:J24),0)</f>
        <v>4899.76</v>
      </c>
      <c r="L15" s="22">
        <f>IFERROR(SUM('Data Sheet'!K23:K24),0)</f>
        <v>5158.1400000000003</v>
      </c>
    </row>
    <row r="16" spans="1:14" x14ac:dyDescent="0.3">
      <c r="B16" s="17" t="s">
        <v>66</v>
      </c>
      <c r="C16" s="19">
        <f>C15/C6</f>
        <v>0.14943148893353111</v>
      </c>
      <c r="D16" s="19">
        <f t="shared" ref="D16:M16" si="4">D15/D6</f>
        <v>0.15506383950593511</v>
      </c>
      <c r="E16" s="19">
        <f t="shared" si="4"/>
        <v>0.14421604143944414</v>
      </c>
      <c r="F16" s="19">
        <f t="shared" si="4"/>
        <v>0.13354275672773522</v>
      </c>
      <c r="G16" s="19">
        <f t="shared" si="4"/>
        <v>0.14330682169583772</v>
      </c>
      <c r="H16" s="19">
        <f t="shared" si="4"/>
        <v>0.12997500551518251</v>
      </c>
      <c r="I16" s="19">
        <f t="shared" si="4"/>
        <v>0.1273861493377611</v>
      </c>
      <c r="J16" s="19">
        <f t="shared" si="4"/>
        <v>0.12937757095897515</v>
      </c>
      <c r="K16" s="19">
        <f t="shared" si="4"/>
        <v>0.1380419008681007</v>
      </c>
      <c r="L16" s="19">
        <f t="shared" si="4"/>
        <v>0.15213230137068723</v>
      </c>
      <c r="M16" s="19">
        <f t="shared" si="4"/>
        <v>0</v>
      </c>
    </row>
    <row r="18" spans="2:13" x14ac:dyDescent="0.3">
      <c r="B18" t="s">
        <v>1</v>
      </c>
      <c r="C18" s="22">
        <f t="shared" ref="C18:M18" si="5">C12-C15</f>
        <v>2725.0400000000013</v>
      </c>
      <c r="D18" s="22">
        <f t="shared" si="5"/>
        <v>2993.76</v>
      </c>
      <c r="E18" s="22">
        <f t="shared" si="5"/>
        <v>3204.0100000000011</v>
      </c>
      <c r="F18" s="22">
        <f t="shared" si="5"/>
        <v>3764.9400000000014</v>
      </c>
      <c r="G18" s="22">
        <f t="shared" si="5"/>
        <v>4156.8199999999979</v>
      </c>
      <c r="H18" s="22">
        <f t="shared" si="5"/>
        <v>4855.6000000000031</v>
      </c>
      <c r="I18" s="22">
        <f t="shared" si="5"/>
        <v>4803.6099999999988</v>
      </c>
      <c r="J18" s="22">
        <f t="shared" si="5"/>
        <v>6259.8399999999956</v>
      </c>
      <c r="K18" s="22">
        <f t="shared" si="5"/>
        <v>7584.9800000000014</v>
      </c>
      <c r="L18" s="22">
        <f t="shared" si="5"/>
        <v>6006.2100000000019</v>
      </c>
      <c r="M18" s="22">
        <f t="shared" si="5"/>
        <v>5937.4100000000035</v>
      </c>
    </row>
    <row r="19" spans="2:13" x14ac:dyDescent="0.3">
      <c r="B19" s="17" t="s">
        <v>67</v>
      </c>
      <c r="C19" s="19">
        <f>C18/C6</f>
        <v>0.19094292186730338</v>
      </c>
      <c r="D19" s="19">
        <f t="shared" ref="D19:M19" si="6">D18/D6</f>
        <v>0.19876258050895004</v>
      </c>
      <c r="E19" s="19">
        <f t="shared" si="6"/>
        <v>0.19043659414367703</v>
      </c>
      <c r="F19" s="19">
        <f t="shared" si="6"/>
        <v>0.19568163000977651</v>
      </c>
      <c r="G19" s="19">
        <f t="shared" si="6"/>
        <v>0.20566862514688591</v>
      </c>
      <c r="H19" s="19">
        <f t="shared" si="6"/>
        <v>0.22362856178317034</v>
      </c>
      <c r="I19" s="19">
        <f t="shared" si="6"/>
        <v>0.16506524798909186</v>
      </c>
      <c r="J19" s="19">
        <f t="shared" si="6"/>
        <v>0.1815046657459756</v>
      </c>
      <c r="K19" s="19">
        <f t="shared" si="6"/>
        <v>0.21369313134654075</v>
      </c>
      <c r="L19" s="19">
        <f t="shared" si="6"/>
        <v>0.17714496888716388</v>
      </c>
      <c r="M19" s="19">
        <f t="shared" si="6"/>
        <v>0.17527699350897027</v>
      </c>
    </row>
    <row r="21" spans="2:13" x14ac:dyDescent="0.3">
      <c r="B21" t="s">
        <v>3</v>
      </c>
      <c r="C21" s="22">
        <f>IFERROR('Data Sheet'!B27,0)</f>
        <v>49</v>
      </c>
      <c r="D21" s="22">
        <f>IFERROR('Data Sheet'!C27,0)</f>
        <v>37.33</v>
      </c>
      <c r="E21" s="22">
        <f>IFERROR('Data Sheet'!D27,0)</f>
        <v>41.47</v>
      </c>
      <c r="F21" s="22">
        <f>IFERROR('Data Sheet'!E27,0)</f>
        <v>110.47</v>
      </c>
      <c r="G21" s="22">
        <f>IFERROR('Data Sheet'!F27,0)</f>
        <v>102.33</v>
      </c>
      <c r="H21" s="22">
        <f>IFERROR('Data Sheet'!G27,0)</f>
        <v>91.63</v>
      </c>
      <c r="I21" s="22">
        <f>IFERROR('Data Sheet'!H27,0)</f>
        <v>95.41</v>
      </c>
      <c r="J21" s="22">
        <f>IFERROR('Data Sheet'!I27,0)</f>
        <v>144.44999999999999</v>
      </c>
      <c r="K21" s="22">
        <f>IFERROR('Data Sheet'!J27,0)</f>
        <v>205.17</v>
      </c>
      <c r="L21" s="22">
        <f>IFERROR('Data Sheet'!K27,0)</f>
        <v>227.02</v>
      </c>
      <c r="M21" s="22">
        <f>IFERROR(SUM('Data Sheet'!H46:K46),0)</f>
        <v>216.14</v>
      </c>
    </row>
    <row r="22" spans="2:13" x14ac:dyDescent="0.3">
      <c r="B22" s="17" t="s">
        <v>68</v>
      </c>
      <c r="C22" s="19">
        <f>C21/C6</f>
        <v>3.4334186549547386E-3</v>
      </c>
      <c r="D22" s="19">
        <f t="shared" ref="D22:M22" si="7">D21/D6</f>
        <v>2.4784241657310885E-3</v>
      </c>
      <c r="E22" s="19">
        <f t="shared" si="7"/>
        <v>2.4648504714836358E-3</v>
      </c>
      <c r="F22" s="19">
        <f t="shared" si="7"/>
        <v>5.7416451967840128E-3</v>
      </c>
      <c r="G22" s="19">
        <f t="shared" si="7"/>
        <v>5.0630218319005502E-3</v>
      </c>
      <c r="H22" s="19">
        <f t="shared" si="7"/>
        <v>4.2200933182700148E-3</v>
      </c>
      <c r="I22" s="19">
        <f t="shared" si="7"/>
        <v>3.2785499469439143E-3</v>
      </c>
      <c r="J22" s="19">
        <f t="shared" si="7"/>
        <v>4.1883417095335005E-3</v>
      </c>
      <c r="K22" s="19">
        <f t="shared" si="7"/>
        <v>5.7802947085384216E-3</v>
      </c>
      <c r="L22" s="19">
        <f t="shared" si="7"/>
        <v>6.6956451467337858E-3</v>
      </c>
      <c r="M22" s="19">
        <f t="shared" si="7"/>
        <v>6.3806220855606756E-3</v>
      </c>
    </row>
    <row r="24" spans="2:13" x14ac:dyDescent="0.3">
      <c r="B24" t="s">
        <v>69</v>
      </c>
      <c r="C24" s="22">
        <f>IFERROR('Data Sheet'!B26,0)</f>
        <v>275.58</v>
      </c>
      <c r="D24" s="22">
        <f>IFERROR('Data Sheet'!C26,0)</f>
        <v>334.79</v>
      </c>
      <c r="E24" s="22">
        <f>IFERROR('Data Sheet'!D26,0)</f>
        <v>360.47</v>
      </c>
      <c r="F24" s="22">
        <f>IFERROR('Data Sheet'!E26,0)</f>
        <v>622.14</v>
      </c>
      <c r="G24" s="22">
        <f>IFERROR('Data Sheet'!F26,0)</f>
        <v>780.5</v>
      </c>
      <c r="H24" s="22">
        <f>IFERROR('Data Sheet'!G26,0)</f>
        <v>791.27</v>
      </c>
      <c r="I24" s="22">
        <f>IFERROR('Data Sheet'!H26,0)</f>
        <v>816.36</v>
      </c>
      <c r="J24" s="22">
        <f>IFERROR('Data Sheet'!I26,0)</f>
        <v>858.02</v>
      </c>
      <c r="K24" s="22">
        <f>IFERROR('Data Sheet'!J26,0)</f>
        <v>853</v>
      </c>
      <c r="L24" s="22">
        <f>IFERROR('Data Sheet'!K26,0)</f>
        <v>1026.3399999999999</v>
      </c>
      <c r="M24" s="22">
        <f>IFERROR(SUM('Data Sheet'!H45:K45),0)</f>
        <v>1099.5100000000002</v>
      </c>
    </row>
    <row r="25" spans="2:13" x14ac:dyDescent="0.3">
      <c r="B25" s="17" t="s">
        <v>2</v>
      </c>
      <c r="C25" s="19">
        <f>C24/C6</f>
        <v>1.9309826794539322E-2</v>
      </c>
      <c r="D25" s="19">
        <f t="shared" ref="D25:M25" si="8">D24/D6</f>
        <v>2.2227474590011016E-2</v>
      </c>
      <c r="E25" s="19">
        <f t="shared" si="8"/>
        <v>2.1425238713665449E-2</v>
      </c>
      <c r="F25" s="19">
        <f t="shared" si="8"/>
        <v>3.2335540352378074E-2</v>
      </c>
      <c r="G25" s="19">
        <f t="shared" si="8"/>
        <v>3.8617106809326486E-2</v>
      </c>
      <c r="H25" s="19">
        <f t="shared" si="8"/>
        <v>3.6442576011650275E-2</v>
      </c>
      <c r="I25" s="19">
        <f t="shared" si="8"/>
        <v>2.8052374328551871E-2</v>
      </c>
      <c r="J25" s="19">
        <f t="shared" si="8"/>
        <v>2.4878372818372688E-2</v>
      </c>
      <c r="K25" s="19">
        <f t="shared" si="8"/>
        <v>2.4031736542297968E-2</v>
      </c>
      <c r="L25" s="19">
        <f t="shared" si="8"/>
        <v>3.0270497929251843E-2</v>
      </c>
      <c r="M25" s="19">
        <f t="shared" si="8"/>
        <v>3.2458396360205519E-2</v>
      </c>
    </row>
    <row r="27" spans="2:13" x14ac:dyDescent="0.3">
      <c r="B27" t="s">
        <v>71</v>
      </c>
      <c r="C27" s="23">
        <f>IFERROR(C18-SUM(C21,C24),0)</f>
        <v>2400.4600000000014</v>
      </c>
      <c r="D27" s="23">
        <f t="shared" ref="D27:M27" si="9">IFERROR(D18-SUM(D21,D24),0)</f>
        <v>2621.6400000000003</v>
      </c>
      <c r="E27" s="23">
        <f t="shared" si="9"/>
        <v>2802.0700000000011</v>
      </c>
      <c r="F27" s="23">
        <f t="shared" si="9"/>
        <v>3032.3300000000013</v>
      </c>
      <c r="G27" s="23">
        <f t="shared" si="9"/>
        <v>3273.989999999998</v>
      </c>
      <c r="H27" s="23">
        <f t="shared" si="9"/>
        <v>3972.700000000003</v>
      </c>
      <c r="I27" s="23">
        <f t="shared" si="9"/>
        <v>3891.8399999999988</v>
      </c>
      <c r="J27" s="23">
        <f t="shared" si="9"/>
        <v>5257.3699999999953</v>
      </c>
      <c r="K27" s="23">
        <f t="shared" si="9"/>
        <v>6526.8100000000013</v>
      </c>
      <c r="L27" s="23">
        <f t="shared" si="9"/>
        <v>4752.8500000000022</v>
      </c>
      <c r="M27" s="23">
        <f t="shared" si="9"/>
        <v>4621.7600000000039</v>
      </c>
    </row>
    <row r="28" spans="2:13" x14ac:dyDescent="0.3">
      <c r="B28" s="17" t="s">
        <v>72</v>
      </c>
      <c r="C28" s="19">
        <f>C27/C6</f>
        <v>0.16819967641780931</v>
      </c>
      <c r="D28" s="19">
        <f t="shared" ref="D28:M28" si="10">D27/D6</f>
        <v>0.17405668175320793</v>
      </c>
      <c r="E28" s="19">
        <f t="shared" si="10"/>
        <v>0.16654650495852794</v>
      </c>
      <c r="F28" s="19">
        <f t="shared" si="10"/>
        <v>0.15760444446061442</v>
      </c>
      <c r="G28" s="19">
        <f t="shared" si="10"/>
        <v>0.16198849650565889</v>
      </c>
      <c r="H28" s="19">
        <f t="shared" si="10"/>
        <v>0.18296589245325004</v>
      </c>
      <c r="I28" s="19">
        <f t="shared" si="10"/>
        <v>0.13373432371359606</v>
      </c>
      <c r="J28" s="19">
        <f t="shared" si="10"/>
        <v>0.15243795121806938</v>
      </c>
      <c r="K28" s="19">
        <f t="shared" si="10"/>
        <v>0.18388110009570438</v>
      </c>
      <c r="L28" s="19">
        <f t="shared" si="10"/>
        <v>0.14017882581117827</v>
      </c>
      <c r="M28" s="19">
        <f t="shared" si="10"/>
        <v>0.1364379750632041</v>
      </c>
    </row>
    <row r="30" spans="2:13" x14ac:dyDescent="0.3">
      <c r="B30" t="s">
        <v>31</v>
      </c>
      <c r="C30" s="23">
        <f>IFERROR('Data Sheet'!B29,0)</f>
        <v>844.49</v>
      </c>
      <c r="D30" s="23">
        <f>IFERROR('Data Sheet'!C29,0)</f>
        <v>943.29</v>
      </c>
      <c r="E30" s="23">
        <f>IFERROR('Data Sheet'!D29,0)</f>
        <v>1040.96</v>
      </c>
      <c r="F30" s="23">
        <f>IFERROR('Data Sheet'!E29,0)</f>
        <v>1098.06</v>
      </c>
      <c r="G30" s="23">
        <f>IFERROR('Data Sheet'!F29,0)</f>
        <v>854.85</v>
      </c>
      <c r="H30" s="23">
        <f>IFERROR('Data Sheet'!G29,0)</f>
        <v>1097.5999999999999</v>
      </c>
      <c r="I30" s="23">
        <f>IFERROR('Data Sheet'!H29,0)</f>
        <v>1102.9100000000001</v>
      </c>
      <c r="J30" s="23">
        <f>IFERROR('Data Sheet'!I29,0)</f>
        <v>1493.5</v>
      </c>
      <c r="K30" s="23">
        <f>IFERROR('Data Sheet'!J29,0)</f>
        <v>1790.08</v>
      </c>
      <c r="L30" s="23">
        <f>IFERROR('Data Sheet'!K29,0)</f>
        <v>1393.36</v>
      </c>
      <c r="M30" s="23">
        <f>IFERROR(SUM('Data Sheet'!H48:K48),0)</f>
        <v>1368.19</v>
      </c>
    </row>
    <row r="31" spans="2:13" x14ac:dyDescent="0.3">
      <c r="B31" s="17" t="s">
        <v>73</v>
      </c>
      <c r="C31" s="19">
        <f>C30/C27</f>
        <v>0.35180340434749985</v>
      </c>
      <c r="D31" s="19">
        <f t="shared" ref="D31:M31" si="11">D30/D27</f>
        <v>0.35980912711127377</v>
      </c>
      <c r="E31" s="19">
        <f t="shared" si="11"/>
        <v>0.37149678630441052</v>
      </c>
      <c r="F31" s="19">
        <f t="shared" si="11"/>
        <v>0.36211757955103813</v>
      </c>
      <c r="G31" s="19">
        <f t="shared" si="11"/>
        <v>0.26110342426213901</v>
      </c>
      <c r="H31" s="19">
        <f>H30/H27</f>
        <v>0.2762856495582347</v>
      </c>
      <c r="I31" s="19">
        <f t="shared" si="11"/>
        <v>0.2833903757605658</v>
      </c>
      <c r="J31" s="19">
        <f t="shared" si="11"/>
        <v>0.28407739991668862</v>
      </c>
      <c r="K31" s="19">
        <f t="shared" si="11"/>
        <v>0.27426568262290452</v>
      </c>
      <c r="L31" s="19">
        <f t="shared" si="11"/>
        <v>0.29316304953869765</v>
      </c>
      <c r="M31" s="19">
        <f t="shared" si="11"/>
        <v>0.29603224745551454</v>
      </c>
    </row>
    <row r="33" spans="1:13" x14ac:dyDescent="0.3">
      <c r="B33" t="s">
        <v>74</v>
      </c>
      <c r="C33" s="22">
        <f>IFERROR(C27-C30,0)</f>
        <v>1555.9700000000014</v>
      </c>
      <c r="D33" s="22">
        <f t="shared" ref="D33:M33" si="12">IFERROR(D27-D30,0)</f>
        <v>1678.3500000000004</v>
      </c>
      <c r="E33" s="22">
        <f t="shared" si="12"/>
        <v>1761.110000000001</v>
      </c>
      <c r="F33" s="22">
        <f t="shared" si="12"/>
        <v>1934.2700000000013</v>
      </c>
      <c r="G33" s="22">
        <f t="shared" si="12"/>
        <v>2419.1399999999981</v>
      </c>
      <c r="H33" s="22">
        <f t="shared" si="12"/>
        <v>2875.1000000000031</v>
      </c>
      <c r="I33" s="22">
        <f t="shared" si="12"/>
        <v>2788.9299999999985</v>
      </c>
      <c r="J33" s="22">
        <f t="shared" si="12"/>
        <v>3763.8699999999953</v>
      </c>
      <c r="K33" s="22">
        <f t="shared" si="12"/>
        <v>4736.7300000000014</v>
      </c>
      <c r="L33" s="22">
        <f t="shared" si="12"/>
        <v>3359.4900000000025</v>
      </c>
      <c r="M33" s="22">
        <f t="shared" si="12"/>
        <v>3253.5700000000038</v>
      </c>
    </row>
    <row r="34" spans="1:13" x14ac:dyDescent="0.3">
      <c r="B34" s="17" t="s">
        <v>75</v>
      </c>
      <c r="C34" s="19">
        <f>C33/C6</f>
        <v>0.10902645764387611</v>
      </c>
      <c r="D34" s="19">
        <f t="shared" ref="D34:M34" si="13">D33/D6</f>
        <v>0.1114294990237014</v>
      </c>
      <c r="E34" s="19">
        <f t="shared" si="13"/>
        <v>0.10467501359620324</v>
      </c>
      <c r="F34" s="19">
        <f t="shared" si="13"/>
        <v>0.1005331045060507</v>
      </c>
      <c r="G34" s="19">
        <f t="shared" si="13"/>
        <v>0.1196927453769558</v>
      </c>
      <c r="H34" s="19">
        <f t="shared" si="13"/>
        <v>0.13241504200980173</v>
      </c>
      <c r="I34" s="19">
        <f t="shared" si="13"/>
        <v>9.5835303464314917E-2</v>
      </c>
      <c r="J34" s="19">
        <f t="shared" si="13"/>
        <v>0.10913377438741322</v>
      </c>
      <c r="K34" s="19">
        <f t="shared" si="13"/>
        <v>0.13344882465650537</v>
      </c>
      <c r="L34" s="19">
        <f t="shared" si="13"/>
        <v>9.9083573755619339E-2</v>
      </c>
      <c r="M34" s="19">
        <f t="shared" si="13"/>
        <v>9.6047934666964346E-2</v>
      </c>
    </row>
    <row r="36" spans="1:13" x14ac:dyDescent="0.3">
      <c r="B36" t="s">
        <v>76</v>
      </c>
      <c r="C36">
        <f>IFERROR('Data Sheet'!B93,0)</f>
        <v>95.92</v>
      </c>
      <c r="D36">
        <f>IFERROR('Data Sheet'!C93,0)</f>
        <v>95.92</v>
      </c>
      <c r="E36">
        <f>IFERROR('Data Sheet'!D93,0)</f>
        <v>95.92</v>
      </c>
      <c r="F36">
        <f>IFERROR('Data Sheet'!E93,0)</f>
        <v>95.92</v>
      </c>
      <c r="G36">
        <f>IFERROR('Data Sheet'!F93,0)</f>
        <v>95.92</v>
      </c>
      <c r="H36">
        <f>IFERROR('Data Sheet'!G93,0)</f>
        <v>95.92</v>
      </c>
      <c r="I36">
        <f>IFERROR('Data Sheet'!H93,0)</f>
        <v>95.92</v>
      </c>
      <c r="J36">
        <f>IFERROR('Data Sheet'!I93,0)</f>
        <v>95.92</v>
      </c>
      <c r="K36">
        <f>IFERROR('Data Sheet'!J93,0)</f>
        <v>95.92</v>
      </c>
      <c r="L36">
        <f>IFERROR('Data Sheet'!K93,0)</f>
        <v>95.92</v>
      </c>
    </row>
    <row r="38" spans="1:13" x14ac:dyDescent="0.3">
      <c r="B38" t="s">
        <v>79</v>
      </c>
      <c r="C38" s="25">
        <f>IFERROR(C33/C36,0)</f>
        <v>16.221538782318614</v>
      </c>
      <c r="D38" s="25">
        <f t="shared" ref="D38:L38" si="14">IFERROR(D33/D36,0)</f>
        <v>17.497393661384489</v>
      </c>
      <c r="E38" s="25">
        <f t="shared" si="14"/>
        <v>18.360195996663897</v>
      </c>
      <c r="F38" s="25">
        <f t="shared" si="14"/>
        <v>20.165450375312773</v>
      </c>
      <c r="G38" s="25">
        <f t="shared" si="14"/>
        <v>25.220391993327752</v>
      </c>
      <c r="H38" s="25">
        <f t="shared" si="14"/>
        <v>29.973936613844902</v>
      </c>
      <c r="I38" s="25">
        <f t="shared" si="14"/>
        <v>29.075583819849857</v>
      </c>
      <c r="J38" s="25">
        <f t="shared" si="14"/>
        <v>39.23967889908252</v>
      </c>
      <c r="K38" s="25">
        <f t="shared" si="14"/>
        <v>49.382089241034208</v>
      </c>
      <c r="L38" s="25">
        <f t="shared" si="14"/>
        <v>35.023874061718125</v>
      </c>
      <c r="M38" s="24"/>
    </row>
    <row r="39" spans="1:13" x14ac:dyDescent="0.3">
      <c r="B39" s="17" t="s">
        <v>80</v>
      </c>
      <c r="C39" s="19"/>
      <c r="D39" s="19">
        <f>IFERROR(D38/C38-1,0)</f>
        <v>7.8651902028958443E-2</v>
      </c>
      <c r="E39" s="19">
        <f t="shared" ref="E39:L39" si="15">IFERROR(E38/D38-1,0)</f>
        <v>4.9310334554771629E-2</v>
      </c>
      <c r="F39" s="19">
        <f t="shared" si="15"/>
        <v>9.8324352255111824E-2</v>
      </c>
      <c r="G39" s="19">
        <f t="shared" si="15"/>
        <v>0.25067338065523237</v>
      </c>
      <c r="H39" s="19">
        <f t="shared" si="15"/>
        <v>0.18848020370875829</v>
      </c>
      <c r="I39" s="19">
        <f t="shared" si="15"/>
        <v>-2.9971131438908061E-2</v>
      </c>
      <c r="J39" s="19">
        <f t="shared" si="15"/>
        <v>0.34957492658474676</v>
      </c>
      <c r="K39" s="19">
        <f t="shared" si="15"/>
        <v>0.25847332665581102</v>
      </c>
      <c r="L39" s="19">
        <f t="shared" si="15"/>
        <v>-0.29075754792863395</v>
      </c>
      <c r="M39" s="24"/>
    </row>
    <row r="41" spans="1:13" x14ac:dyDescent="0.3">
      <c r="B41" t="s">
        <v>78</v>
      </c>
      <c r="C41" s="25">
        <f>IFERROR('Data Sheet'!B31/'Data Sheet'!B93,0)</f>
        <v>7.5</v>
      </c>
      <c r="D41" s="25">
        <f>IFERROR('Data Sheet'!C31/'Data Sheet'!C93,0)</f>
        <v>10.300041701417848</v>
      </c>
      <c r="E41" s="25">
        <f>IFERROR('Data Sheet'!D31/'Data Sheet'!D93,0)</f>
        <v>8.6999582985821515</v>
      </c>
      <c r="F41" s="25">
        <f>IFERROR('Data Sheet'!E31/'Data Sheet'!E93,0)</f>
        <v>10.5</v>
      </c>
      <c r="G41" s="25">
        <f>IFERROR('Data Sheet'!F31/'Data Sheet'!F93,0)</f>
        <v>12</v>
      </c>
      <c r="H41" s="25">
        <f>IFERROR('Data Sheet'!G31/'Data Sheet'!G93,0)</f>
        <v>17.849979149291077</v>
      </c>
      <c r="I41" s="25">
        <f>IFERROR('Data Sheet'!H31/'Data Sheet'!H93,0)</f>
        <v>19.150020850708923</v>
      </c>
      <c r="J41" s="25">
        <f>IFERROR('Data Sheet'!I31/'Data Sheet'!I93,0)</f>
        <v>25.650020850708923</v>
      </c>
      <c r="K41" s="25">
        <f>IFERROR('Data Sheet'!J31/'Data Sheet'!J93,0)</f>
        <v>33.300041701417847</v>
      </c>
      <c r="L41" s="25">
        <f>IFERROR('Data Sheet'!K31/'Data Sheet'!K93,0)</f>
        <v>24.80004170141785</v>
      </c>
    </row>
    <row r="42" spans="1:13" x14ac:dyDescent="0.3">
      <c r="B42" s="17" t="s">
        <v>81</v>
      </c>
      <c r="C42" s="19">
        <f>IFERROR(C41/C38,0)</f>
        <v>0.46234824578880013</v>
      </c>
      <c r="D42" s="19">
        <f t="shared" ref="D42:L42" si="16">IFERROR(D41/D38,0)</f>
        <v>0.5886614830041409</v>
      </c>
      <c r="E42" s="19">
        <f t="shared" si="16"/>
        <v>0.47384887939992359</v>
      </c>
      <c r="F42" s="19">
        <f t="shared" si="16"/>
        <v>0.52069256101785133</v>
      </c>
      <c r="G42" s="19">
        <f t="shared" si="16"/>
        <v>0.47580545152409576</v>
      </c>
      <c r="H42" s="19">
        <f t="shared" si="16"/>
        <v>0.59551667768077576</v>
      </c>
      <c r="I42" s="19">
        <f t="shared" si="16"/>
        <v>0.65862893654555732</v>
      </c>
      <c r="J42" s="19">
        <f t="shared" si="16"/>
        <v>0.65367560516170931</v>
      </c>
      <c r="K42" s="19">
        <f t="shared" si="16"/>
        <v>0.67433440369199826</v>
      </c>
      <c r="L42" s="19">
        <f t="shared" si="16"/>
        <v>0.70808962074600557</v>
      </c>
      <c r="M42" s="19"/>
    </row>
    <row r="44" spans="1:13" x14ac:dyDescent="0.3">
      <c r="B44" t="s">
        <v>82</v>
      </c>
      <c r="C44" s="2">
        <f>IFERROR(IF(C38&gt;C41,1-C42,0),0)</f>
        <v>0.53765175421119982</v>
      </c>
      <c r="D44" s="2">
        <f t="shared" ref="D44:L44" si="17">IFERROR(IF(D38&gt;D41,1-D42,0),0)</f>
        <v>0.4113385169958591</v>
      </c>
      <c r="E44" s="2">
        <f t="shared" si="17"/>
        <v>0.52615112060007641</v>
      </c>
      <c r="F44" s="2">
        <f t="shared" si="17"/>
        <v>0.47930743898214867</v>
      </c>
      <c r="G44" s="2">
        <f t="shared" si="17"/>
        <v>0.5241945484759043</v>
      </c>
      <c r="H44" s="2">
        <f t="shared" si="17"/>
        <v>0.40448332231922424</v>
      </c>
      <c r="I44" s="2">
        <f t="shared" si="17"/>
        <v>0.34137106345444268</v>
      </c>
      <c r="J44" s="2">
        <f t="shared" si="17"/>
        <v>0.34632439483829069</v>
      </c>
      <c r="K44" s="2">
        <f t="shared" si="17"/>
        <v>0.32566559630800174</v>
      </c>
      <c r="L44" s="2">
        <f t="shared" si="17"/>
        <v>0.29191037925399443</v>
      </c>
      <c r="M44" s="2"/>
    </row>
    <row r="48" spans="1:13" x14ac:dyDescent="0.3">
      <c r="A48" t="s">
        <v>5</v>
      </c>
      <c r="B48" s="5" t="s">
        <v>83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x14ac:dyDescent="0.3">
      <c r="B49" s="13" t="s">
        <v>38</v>
      </c>
      <c r="C49" s="25">
        <f>IFERROR('Data Sheet'!B57,0)</f>
        <v>95.92</v>
      </c>
      <c r="D49" s="25">
        <f>IFERROR('Data Sheet'!C57,0)</f>
        <v>95.92</v>
      </c>
      <c r="E49" s="25">
        <f>IFERROR('Data Sheet'!D57,0)</f>
        <v>95.92</v>
      </c>
      <c r="F49" s="25">
        <f>IFERROR('Data Sheet'!E57,0)</f>
        <v>95.92</v>
      </c>
      <c r="G49" s="25">
        <f>IFERROR('Data Sheet'!F57,0)</f>
        <v>95.92</v>
      </c>
      <c r="H49" s="25">
        <f>IFERROR('Data Sheet'!G57,0)</f>
        <v>95.92</v>
      </c>
      <c r="I49" s="25">
        <f>IFERROR('Data Sheet'!H57,0)</f>
        <v>95.92</v>
      </c>
      <c r="J49" s="25">
        <f>IFERROR('Data Sheet'!I57,0)</f>
        <v>95.92</v>
      </c>
      <c r="K49" s="25">
        <f>IFERROR('Data Sheet'!J57,0)</f>
        <v>95.92</v>
      </c>
      <c r="L49" s="25">
        <f>IFERROR('Data Sheet'!K57,0)</f>
        <v>95.92</v>
      </c>
      <c r="M49" s="25"/>
    </row>
    <row r="50" spans="2:13" x14ac:dyDescent="0.3">
      <c r="B50" s="13" t="s">
        <v>39</v>
      </c>
      <c r="C50" s="25">
        <f>IFERROR('Data Sheet'!B58,0)</f>
        <v>6428.9</v>
      </c>
      <c r="D50" s="25">
        <f>IFERROR('Data Sheet'!C58,0)</f>
        <v>7507.97</v>
      </c>
      <c r="E50" s="25">
        <f>IFERROR('Data Sheet'!D58,0)</f>
        <v>8314.31</v>
      </c>
      <c r="F50" s="25">
        <f>IFERROR('Data Sheet'!E58,0)</f>
        <v>9374.6299999999992</v>
      </c>
      <c r="G50" s="25">
        <f>IFERROR('Data Sheet'!F58,0)</f>
        <v>10034.24</v>
      </c>
      <c r="H50" s="25">
        <f>IFERROR('Data Sheet'!G58,0)</f>
        <v>12710.37</v>
      </c>
      <c r="I50" s="25">
        <f>IFERROR('Data Sheet'!H58,0)</f>
        <v>13715.64</v>
      </c>
      <c r="J50" s="25">
        <f>IFERROR('Data Sheet'!I58,0)</f>
        <v>15896.31</v>
      </c>
      <c r="K50" s="25">
        <f>IFERROR('Data Sheet'!J58,0)</f>
        <v>18632.38</v>
      </c>
      <c r="L50" s="25">
        <f>IFERROR('Data Sheet'!K58,0)</f>
        <v>19303.89</v>
      </c>
      <c r="M50" s="25"/>
    </row>
    <row r="51" spans="2:13" x14ac:dyDescent="0.3">
      <c r="B51" s="13" t="s">
        <v>40</v>
      </c>
      <c r="C51" s="25">
        <f>IFERROR('Data Sheet'!B59,0)</f>
        <v>323.29000000000002</v>
      </c>
      <c r="D51" s="25">
        <f>IFERROR('Data Sheet'!C59,0)</f>
        <v>560.34</v>
      </c>
      <c r="E51" s="25">
        <f>IFERROR('Data Sheet'!D59,0)</f>
        <v>533.42999999999995</v>
      </c>
      <c r="F51" s="25">
        <f>IFERROR('Data Sheet'!E59,0)</f>
        <v>1319.6</v>
      </c>
      <c r="G51" s="25">
        <f>IFERROR('Data Sheet'!F59,0)</f>
        <v>1118.5</v>
      </c>
      <c r="H51" s="25">
        <f>IFERROR('Data Sheet'!G59,0)</f>
        <v>1093.1199999999999</v>
      </c>
      <c r="I51" s="25">
        <f>IFERROR('Data Sheet'!H59,0)</f>
        <v>1586.88</v>
      </c>
      <c r="J51" s="25">
        <f>IFERROR('Data Sheet'!I59,0)</f>
        <v>1932.62</v>
      </c>
      <c r="K51" s="25">
        <f>IFERROR('Data Sheet'!J59,0)</f>
        <v>2474.38</v>
      </c>
      <c r="L51" s="25">
        <f>IFERROR('Data Sheet'!K59,0)</f>
        <v>2290.29</v>
      </c>
      <c r="M51" s="25"/>
    </row>
    <row r="52" spans="2:13" x14ac:dyDescent="0.3">
      <c r="B52" s="13" t="s">
        <v>41</v>
      </c>
      <c r="C52" s="25">
        <f>IFERROR('Data Sheet'!B60,0)</f>
        <v>3710.92</v>
      </c>
      <c r="D52" s="25">
        <f>IFERROR('Data Sheet'!C60,0)</f>
        <v>4240.96</v>
      </c>
      <c r="E52" s="25">
        <f>IFERROR('Data Sheet'!D60,0)</f>
        <v>4819.82</v>
      </c>
      <c r="F52" s="25">
        <f>IFERROR('Data Sheet'!E60,0)</f>
        <v>5458.69</v>
      </c>
      <c r="G52" s="25">
        <f>IFERROR('Data Sheet'!F60,0)</f>
        <v>4889.3100000000004</v>
      </c>
      <c r="H52" s="25">
        <f>IFERROR('Data Sheet'!G60,0)</f>
        <v>6455.93</v>
      </c>
      <c r="I52" s="25">
        <f>IFERROR('Data Sheet'!H60,0)</f>
        <v>7559.99</v>
      </c>
      <c r="J52" s="25">
        <f>IFERROR('Data Sheet'!I60,0)</f>
        <v>7854.48</v>
      </c>
      <c r="K52" s="25">
        <f>IFERROR('Data Sheet'!J60,0)</f>
        <v>8698.09</v>
      </c>
      <c r="L52" s="25">
        <f>IFERROR('Data Sheet'!K60,0)</f>
        <v>8665.15</v>
      </c>
      <c r="M52" s="25"/>
    </row>
    <row r="53" spans="2:13" x14ac:dyDescent="0.3">
      <c r="B53" s="8" t="s">
        <v>84</v>
      </c>
      <c r="C53" s="27">
        <f>IFERROR('Data Sheet'!B61,0)</f>
        <v>10559.03</v>
      </c>
      <c r="D53" s="27">
        <f>IFERROR('Data Sheet'!C61,0)</f>
        <v>12405.19</v>
      </c>
      <c r="E53" s="27">
        <f>IFERROR('Data Sheet'!D61,0)</f>
        <v>13763.48</v>
      </c>
      <c r="F53" s="27">
        <f>IFERROR('Data Sheet'!E61,0)</f>
        <v>16248.84</v>
      </c>
      <c r="G53" s="27">
        <f>IFERROR('Data Sheet'!F61,0)</f>
        <v>16137.97</v>
      </c>
      <c r="H53" s="27">
        <f>IFERROR('Data Sheet'!G61,0)</f>
        <v>20355.34</v>
      </c>
      <c r="I53" s="27">
        <f>IFERROR('Data Sheet'!H61,0)</f>
        <v>22958.43</v>
      </c>
      <c r="J53" s="27">
        <f>IFERROR('Data Sheet'!I61,0)</f>
        <v>25779.33</v>
      </c>
      <c r="K53" s="27">
        <f>IFERROR('Data Sheet'!J61,0)</f>
        <v>29900.77</v>
      </c>
      <c r="L53" s="27">
        <f>IFERROR('Data Sheet'!K61,0)</f>
        <v>30355.25</v>
      </c>
      <c r="M53" s="27"/>
    </row>
    <row r="54" spans="2:13" x14ac:dyDescent="0.3">
      <c r="B54" s="8"/>
    </row>
    <row r="55" spans="2:13" x14ac:dyDescent="0.3">
      <c r="B55" s="13" t="s">
        <v>85</v>
      </c>
      <c r="C55" s="25">
        <f>IFERROR('Data Sheet'!B62,0)</f>
        <v>3416.35</v>
      </c>
      <c r="D55" s="25">
        <f>IFERROR('Data Sheet'!C62,0)</f>
        <v>3303.74</v>
      </c>
      <c r="E55" s="25">
        <f>IFERROR('Data Sheet'!D62,0)</f>
        <v>3732.24</v>
      </c>
      <c r="F55" s="25">
        <f>IFERROR('Data Sheet'!E62,0)</f>
        <v>6496.56</v>
      </c>
      <c r="G55" s="25">
        <f>IFERROR('Data Sheet'!F62,0)</f>
        <v>6272.31</v>
      </c>
      <c r="H55" s="25">
        <f>IFERROR('Data Sheet'!G62,0)</f>
        <v>5858.52</v>
      </c>
      <c r="I55" s="25">
        <f>IFERROR('Data Sheet'!H62,0)</f>
        <v>5519.06</v>
      </c>
      <c r="J55" s="25">
        <f>IFERROR('Data Sheet'!I62,0)</f>
        <v>5770.46</v>
      </c>
      <c r="K55" s="25">
        <f>IFERROR('Data Sheet'!J62,0)</f>
        <v>7146.62</v>
      </c>
      <c r="L55" s="25">
        <f>IFERROR('Data Sheet'!K62,0)</f>
        <v>9220.1</v>
      </c>
    </row>
    <row r="56" spans="2:13" x14ac:dyDescent="0.3">
      <c r="B56" s="13" t="s">
        <v>43</v>
      </c>
      <c r="C56" s="25">
        <f>IFERROR('Data Sheet'!B63,0)</f>
        <v>106.59</v>
      </c>
      <c r="D56" s="25">
        <f>IFERROR('Data Sheet'!C63,0)</f>
        <v>257.54000000000002</v>
      </c>
      <c r="E56" s="25">
        <f>IFERROR('Data Sheet'!D63,0)</f>
        <v>1405.11</v>
      </c>
      <c r="F56" s="25">
        <f>IFERROR('Data Sheet'!E63,0)</f>
        <v>209.67</v>
      </c>
      <c r="G56" s="25">
        <f>IFERROR('Data Sheet'!F63,0)</f>
        <v>140.24</v>
      </c>
      <c r="H56" s="25">
        <f>IFERROR('Data Sheet'!G63,0)</f>
        <v>182.98</v>
      </c>
      <c r="I56" s="25">
        <f>IFERROR('Data Sheet'!H63,0)</f>
        <v>426.43</v>
      </c>
      <c r="J56" s="25">
        <f>IFERROR('Data Sheet'!I63,0)</f>
        <v>1019.59</v>
      </c>
      <c r="K56" s="25">
        <f>IFERROR('Data Sheet'!J63,0)</f>
        <v>2698.37</v>
      </c>
      <c r="L56" s="25">
        <f>IFERROR('Data Sheet'!K63,0)</f>
        <v>1254.49</v>
      </c>
    </row>
    <row r="57" spans="2:13" x14ac:dyDescent="0.3">
      <c r="B57" s="13" t="s">
        <v>44</v>
      </c>
      <c r="C57" s="25">
        <f>IFERROR('Data Sheet'!B64,0)</f>
        <v>2712.13</v>
      </c>
      <c r="D57" s="25">
        <f>IFERROR('Data Sheet'!C64,0)</f>
        <v>2651.99</v>
      </c>
      <c r="E57" s="25">
        <f>IFERROR('Data Sheet'!D64,0)</f>
        <v>2140.6999999999998</v>
      </c>
      <c r="F57" s="25">
        <f>IFERROR('Data Sheet'!E64,0)</f>
        <v>2568.58</v>
      </c>
      <c r="G57" s="25">
        <f>IFERROR('Data Sheet'!F64,0)</f>
        <v>2018.85</v>
      </c>
      <c r="H57" s="25">
        <f>IFERROR('Data Sheet'!G64,0)</f>
        <v>4736.8</v>
      </c>
      <c r="I57" s="25">
        <f>IFERROR('Data Sheet'!H64,0)</f>
        <v>3247.53</v>
      </c>
      <c r="J57" s="25">
        <f>IFERROR('Data Sheet'!I64,0)</f>
        <v>4261.71</v>
      </c>
      <c r="K57" s="25">
        <f>IFERROR('Data Sheet'!J64,0)</f>
        <v>4587.92</v>
      </c>
      <c r="L57" s="25">
        <f>IFERROR('Data Sheet'!K64,0)</f>
        <v>4724.75</v>
      </c>
    </row>
    <row r="58" spans="2:13" x14ac:dyDescent="0.3">
      <c r="B58" s="13" t="s">
        <v>45</v>
      </c>
      <c r="C58" s="25">
        <f>IFERROR('Data Sheet'!B65-SUM('Data Sheet'!B67:B69),0)</f>
        <v>714.68000000000029</v>
      </c>
      <c r="D58" s="25">
        <f>IFERROR('Data Sheet'!C65-SUM('Data Sheet'!C67:C69),0)</f>
        <v>1317.17</v>
      </c>
      <c r="E58" s="25">
        <f>IFERROR('Data Sheet'!D65-SUM('Data Sheet'!D67:D69),0)</f>
        <v>1691.8400000000001</v>
      </c>
      <c r="F58" s="25">
        <f>IFERROR('Data Sheet'!E65-SUM('Data Sheet'!E67:E69),0)</f>
        <v>1471.9599999999991</v>
      </c>
      <c r="G58" s="25">
        <f>IFERROR('Data Sheet'!F65-SUM('Data Sheet'!F67:F69),0)</f>
        <v>1738.71</v>
      </c>
      <c r="H58" s="25">
        <f>IFERROR('Data Sheet'!G65-SUM('Data Sheet'!G67:G69),0)</f>
        <v>2565.5200000000004</v>
      </c>
      <c r="I58" s="25">
        <f>IFERROR('Data Sheet'!H65-SUM('Data Sheet'!H67:H69),0)</f>
        <v>2876.66</v>
      </c>
      <c r="J58" s="25">
        <f>IFERROR('Data Sheet'!I65-SUM('Data Sheet'!I67:I69),0)</f>
        <v>3036.17</v>
      </c>
      <c r="K58" s="25">
        <f>IFERROR('Data Sheet'!J65-SUM('Data Sheet'!J67:J69),0)</f>
        <v>3571.3900000000012</v>
      </c>
      <c r="L58" s="25">
        <f>IFERROR('Data Sheet'!K65-SUM('Data Sheet'!K67:K69),0)</f>
        <v>3341.01</v>
      </c>
    </row>
    <row r="59" spans="2:13" x14ac:dyDescent="0.3">
      <c r="B59" s="8" t="s">
        <v>86</v>
      </c>
      <c r="C59" s="27">
        <f>IFERROR(SUM(C55:C58),0)</f>
        <v>6949.75</v>
      </c>
      <c r="D59" s="27">
        <f t="shared" ref="D59:L59" si="18">IFERROR(SUM(D55:D58),0)</f>
        <v>7530.44</v>
      </c>
      <c r="E59" s="27">
        <f t="shared" si="18"/>
        <v>8969.89</v>
      </c>
      <c r="F59" s="27">
        <f t="shared" si="18"/>
        <v>10746.77</v>
      </c>
      <c r="G59" s="27">
        <f t="shared" si="18"/>
        <v>10170.11</v>
      </c>
      <c r="H59" s="27">
        <f t="shared" si="18"/>
        <v>13343.82</v>
      </c>
      <c r="I59" s="27">
        <f t="shared" si="18"/>
        <v>12069.68</v>
      </c>
      <c r="J59" s="27">
        <f t="shared" si="18"/>
        <v>14087.93</v>
      </c>
      <c r="K59" s="27">
        <f t="shared" si="18"/>
        <v>18004.300000000003</v>
      </c>
      <c r="L59" s="27">
        <f t="shared" si="18"/>
        <v>18540.349999999999</v>
      </c>
    </row>
    <row r="60" spans="2:13" x14ac:dyDescent="0.3">
      <c r="B60" s="8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2:13" x14ac:dyDescent="0.3">
      <c r="B61" s="13" t="s">
        <v>46</v>
      </c>
      <c r="C61" s="25">
        <f>IFERROR('Data Sheet'!B67,0)</f>
        <v>1186.8399999999999</v>
      </c>
      <c r="D61" s="25">
        <f>IFERROR('Data Sheet'!C67,0)</f>
        <v>1446.6</v>
      </c>
      <c r="E61" s="25">
        <f>IFERROR('Data Sheet'!D67,0)</f>
        <v>1730.63</v>
      </c>
      <c r="F61" s="25">
        <f>IFERROR('Data Sheet'!E67,0)</f>
        <v>1907.33</v>
      </c>
      <c r="G61" s="25">
        <f>IFERROR('Data Sheet'!F67,0)</f>
        <v>1795.22</v>
      </c>
      <c r="H61" s="25">
        <f>IFERROR('Data Sheet'!G67,0)</f>
        <v>2602.17</v>
      </c>
      <c r="I61" s="25">
        <f>IFERROR('Data Sheet'!H67,0)</f>
        <v>3871.44</v>
      </c>
      <c r="J61" s="25">
        <f>IFERROR('Data Sheet'!I67,0)</f>
        <v>4636.9399999999996</v>
      </c>
      <c r="K61" s="25">
        <f>IFERROR('Data Sheet'!J67,0)</f>
        <v>4889.05</v>
      </c>
      <c r="L61" s="25">
        <f>IFERROR('Data Sheet'!K67,0)</f>
        <v>4313.6499999999996</v>
      </c>
    </row>
    <row r="62" spans="2:13" x14ac:dyDescent="0.3">
      <c r="B62" s="13" t="s">
        <v>47</v>
      </c>
      <c r="C62" s="25">
        <f>IFERROR('Data Sheet'!B68,0)</f>
        <v>1998.24</v>
      </c>
      <c r="D62" s="25">
        <f>IFERROR('Data Sheet'!C68,0)</f>
        <v>2626.94</v>
      </c>
      <c r="E62" s="25">
        <f>IFERROR('Data Sheet'!D68,0)</f>
        <v>2658.31</v>
      </c>
      <c r="F62" s="25">
        <f>IFERROR('Data Sheet'!E68,0)</f>
        <v>3149.86</v>
      </c>
      <c r="G62" s="25">
        <f>IFERROR('Data Sheet'!F68,0)</f>
        <v>3389.81</v>
      </c>
      <c r="H62" s="25">
        <f>IFERROR('Data Sheet'!G68,0)</f>
        <v>3798.6</v>
      </c>
      <c r="I62" s="25">
        <f>IFERROR('Data Sheet'!H68,0)</f>
        <v>6152.98</v>
      </c>
      <c r="J62" s="25">
        <f>IFERROR('Data Sheet'!I68,0)</f>
        <v>6210.64</v>
      </c>
      <c r="K62" s="25">
        <f>IFERROR('Data Sheet'!J68,0)</f>
        <v>5923.41</v>
      </c>
      <c r="L62" s="25">
        <f>IFERROR('Data Sheet'!K68,0)</f>
        <v>6719.27</v>
      </c>
    </row>
    <row r="63" spans="2:13" x14ac:dyDescent="0.3">
      <c r="B63" s="9" t="s">
        <v>48</v>
      </c>
      <c r="C63" s="25">
        <f>IFERROR('Data Sheet'!B69,0)</f>
        <v>424.2</v>
      </c>
      <c r="D63" s="25">
        <f>IFERROR('Data Sheet'!C69,0)</f>
        <v>801.21</v>
      </c>
      <c r="E63" s="25">
        <f>IFERROR('Data Sheet'!D69,0)</f>
        <v>404.65</v>
      </c>
      <c r="F63" s="25">
        <f>IFERROR('Data Sheet'!E69,0)</f>
        <v>444.88</v>
      </c>
      <c r="G63" s="25">
        <f>IFERROR('Data Sheet'!F69,0)</f>
        <v>782.83</v>
      </c>
      <c r="H63" s="25">
        <f>IFERROR('Data Sheet'!G69,0)</f>
        <v>610.75</v>
      </c>
      <c r="I63" s="25">
        <f>IFERROR('Data Sheet'!H69,0)</f>
        <v>864.33</v>
      </c>
      <c r="J63" s="25">
        <f>IFERROR('Data Sheet'!I69,0)</f>
        <v>843.82</v>
      </c>
      <c r="K63" s="25">
        <f>IFERROR('Data Sheet'!J69,0)</f>
        <v>1084.01</v>
      </c>
      <c r="L63" s="25">
        <f>IFERROR('Data Sheet'!K69,0)</f>
        <v>781.98</v>
      </c>
    </row>
    <row r="64" spans="2:13" x14ac:dyDescent="0.3">
      <c r="B64" s="26" t="s">
        <v>87</v>
      </c>
      <c r="C64" s="25">
        <f>IFERROR(SUM(C61:C63),0)</f>
        <v>3609.2799999999997</v>
      </c>
      <c r="D64" s="25">
        <f t="shared" ref="D64:L64" si="19">IFERROR(SUM(D61:D63),0)</f>
        <v>4874.75</v>
      </c>
      <c r="E64" s="25">
        <f t="shared" si="19"/>
        <v>4793.59</v>
      </c>
      <c r="F64" s="25">
        <f t="shared" si="19"/>
        <v>5502.0700000000006</v>
      </c>
      <c r="G64" s="25">
        <f t="shared" si="19"/>
        <v>5967.86</v>
      </c>
      <c r="H64" s="25">
        <f t="shared" si="19"/>
        <v>7011.52</v>
      </c>
      <c r="I64" s="25">
        <f t="shared" si="19"/>
        <v>10888.75</v>
      </c>
      <c r="J64" s="25">
        <f t="shared" si="19"/>
        <v>11691.4</v>
      </c>
      <c r="K64" s="25">
        <f t="shared" si="19"/>
        <v>11896.47</v>
      </c>
      <c r="L64" s="25">
        <f t="shared" si="19"/>
        <v>11814.9</v>
      </c>
    </row>
    <row r="65" spans="1:13" x14ac:dyDescent="0.3">
      <c r="C65" s="25"/>
      <c r="D65" s="25"/>
      <c r="E65" s="25"/>
      <c r="F65" s="25"/>
      <c r="G65" s="25"/>
      <c r="H65" s="25"/>
      <c r="I65" s="25"/>
      <c r="J65" s="25"/>
      <c r="K65" s="25"/>
      <c r="L65" s="25"/>
    </row>
    <row r="66" spans="1:13" x14ac:dyDescent="0.3">
      <c r="B66" s="26" t="s">
        <v>88</v>
      </c>
      <c r="C66" s="27">
        <f>IFERROR(SUM(C59,C64),0)</f>
        <v>10559.029999999999</v>
      </c>
      <c r="D66" s="27">
        <f t="shared" ref="D66:L66" si="20">IFERROR(SUM(D59,D64),0)</f>
        <v>12405.189999999999</v>
      </c>
      <c r="E66" s="27">
        <f t="shared" si="20"/>
        <v>13763.48</v>
      </c>
      <c r="F66" s="27">
        <f t="shared" si="20"/>
        <v>16248.84</v>
      </c>
      <c r="G66" s="27">
        <f t="shared" si="20"/>
        <v>16137.970000000001</v>
      </c>
      <c r="H66" s="27">
        <f t="shared" si="20"/>
        <v>20355.34</v>
      </c>
      <c r="I66" s="27">
        <f t="shared" si="20"/>
        <v>22958.43</v>
      </c>
      <c r="J66" s="27">
        <f t="shared" si="20"/>
        <v>25779.33</v>
      </c>
      <c r="K66" s="27">
        <f t="shared" si="20"/>
        <v>29900.770000000004</v>
      </c>
      <c r="L66" s="27">
        <f t="shared" si="20"/>
        <v>30355.25</v>
      </c>
      <c r="M66" s="25"/>
    </row>
    <row r="68" spans="1:13" x14ac:dyDescent="0.3">
      <c r="B68" s="4" t="s">
        <v>89</v>
      </c>
      <c r="C68" s="4" t="b">
        <f>C53=C66</f>
        <v>1</v>
      </c>
      <c r="D68" s="4" t="b">
        <f t="shared" ref="D68:L68" si="21">D53=D66</f>
        <v>1</v>
      </c>
      <c r="E68" s="4" t="b">
        <f t="shared" si="21"/>
        <v>1</v>
      </c>
      <c r="F68" s="4" t="b">
        <f t="shared" si="21"/>
        <v>1</v>
      </c>
      <c r="G68" s="4" t="b">
        <f t="shared" si="21"/>
        <v>1</v>
      </c>
      <c r="H68" s="4" t="b">
        <f t="shared" si="21"/>
        <v>1</v>
      </c>
      <c r="I68" s="4" t="b">
        <f t="shared" si="21"/>
        <v>1</v>
      </c>
      <c r="J68" s="4" t="b">
        <f t="shared" si="21"/>
        <v>1</v>
      </c>
      <c r="K68" s="4" t="b">
        <f t="shared" si="21"/>
        <v>1</v>
      </c>
      <c r="L68" s="4" t="b">
        <f t="shared" si="21"/>
        <v>1</v>
      </c>
    </row>
    <row r="71" spans="1:13" x14ac:dyDescent="0.3">
      <c r="A71" t="s">
        <v>5</v>
      </c>
      <c r="B71" s="5" t="s">
        <v>115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3">
      <c r="B72" s="1" t="s">
        <v>116</v>
      </c>
      <c r="C72" s="27">
        <f>IFERROR('Data Sheet'!B82,0)</f>
        <v>2242.9499999999998</v>
      </c>
      <c r="D72" s="27">
        <f>IFERROR('Data Sheet'!C82,0)</f>
        <v>1527.33</v>
      </c>
      <c r="E72" s="27">
        <f>IFERROR('Data Sheet'!D82,0)</f>
        <v>2113.44</v>
      </c>
      <c r="F72" s="27">
        <f>IFERROR('Data Sheet'!E82,0)</f>
        <v>2469.54</v>
      </c>
      <c r="G72" s="27">
        <f>IFERROR('Data Sheet'!F82,0)</f>
        <v>3038.15</v>
      </c>
      <c r="H72" s="27">
        <f>IFERROR('Data Sheet'!G82,0)</f>
        <v>3683.35</v>
      </c>
      <c r="I72" s="27">
        <f>IFERROR('Data Sheet'!H82,0)</f>
        <v>986.49</v>
      </c>
      <c r="J72" s="27">
        <f>IFERROR('Data Sheet'!I82,0)</f>
        <v>4193.43</v>
      </c>
      <c r="K72" s="27">
        <f>IFERROR('Data Sheet'!J82,0)</f>
        <v>6103.6</v>
      </c>
      <c r="L72" s="27">
        <f>IFERROR('Data Sheet'!K82,0)</f>
        <v>4423.96</v>
      </c>
      <c r="M72" s="25"/>
    </row>
    <row r="73" spans="1:13" x14ac:dyDescent="0.3">
      <c r="B73" s="30" t="s">
        <v>117</v>
      </c>
      <c r="C73" s="27">
        <f>IFERROR('Data Sheet'!B83,0)</f>
        <v>-866.21</v>
      </c>
      <c r="D73" s="27">
        <f>IFERROR('Data Sheet'!C83,0)</f>
        <v>-681.11</v>
      </c>
      <c r="E73" s="27">
        <f>IFERROR('Data Sheet'!D83,0)</f>
        <v>-1556.14</v>
      </c>
      <c r="F73" s="27">
        <f>IFERROR('Data Sheet'!E83,0)</f>
        <v>-917.79</v>
      </c>
      <c r="G73" s="27">
        <f>IFERROR('Data Sheet'!F83,0)</f>
        <v>-517.91</v>
      </c>
      <c r="H73" s="27">
        <f>IFERROR('Data Sheet'!G83,0)</f>
        <v>-540.54</v>
      </c>
      <c r="I73" s="27">
        <f>IFERROR('Data Sheet'!H83,0)</f>
        <v>-316.75</v>
      </c>
      <c r="J73" s="27">
        <f>IFERROR('Data Sheet'!I83,0)</f>
        <v>-1282.3399999999999</v>
      </c>
      <c r="K73" s="27">
        <f>IFERROR('Data Sheet'!J83,0)</f>
        <v>-2548.48</v>
      </c>
      <c r="L73" s="27">
        <f>IFERROR('Data Sheet'!K83,0)</f>
        <v>-940.91</v>
      </c>
    </row>
    <row r="74" spans="1:13" x14ac:dyDescent="0.3">
      <c r="B74" s="30" t="s">
        <v>118</v>
      </c>
      <c r="C74" s="27">
        <f>IFERROR('Data Sheet'!B84,0)</f>
        <v>-848.98</v>
      </c>
      <c r="D74" s="27">
        <f>IFERROR('Data Sheet'!C84,0)</f>
        <v>-756.43</v>
      </c>
      <c r="E74" s="27">
        <f>IFERROR('Data Sheet'!D84,0)</f>
        <v>-1379.14</v>
      </c>
      <c r="F74" s="27">
        <f>IFERROR('Data Sheet'!E84,0)</f>
        <v>-1117.46</v>
      </c>
      <c r="G74" s="27">
        <f>IFERROR('Data Sheet'!F84,0)</f>
        <v>-2871.46</v>
      </c>
      <c r="H74" s="27">
        <f>IFERROR('Data Sheet'!G84,0)</f>
        <v>-650.4</v>
      </c>
      <c r="I74" s="27">
        <f>IFERROR('Data Sheet'!H84,0)</f>
        <v>-1807.61</v>
      </c>
      <c r="J74" s="27">
        <f>IFERROR('Data Sheet'!I84,0)</f>
        <v>-2140.0500000000002</v>
      </c>
      <c r="K74" s="27">
        <f>IFERROR('Data Sheet'!J84,0)</f>
        <v>-2982.5</v>
      </c>
      <c r="L74" s="27">
        <f>IFERROR('Data Sheet'!K84,0)</f>
        <v>-3752.58</v>
      </c>
    </row>
    <row r="76" spans="1:13" x14ac:dyDescent="0.3">
      <c r="B76" s="30" t="s">
        <v>56</v>
      </c>
      <c r="C76" s="27">
        <f t="shared" ref="C76:L76" si="22">IFERROR(SUM(C72,C73,C74),0)</f>
        <v>527.75999999999976</v>
      </c>
      <c r="D76" s="27">
        <f t="shared" si="22"/>
        <v>89.789999999999964</v>
      </c>
      <c r="E76" s="27">
        <f t="shared" si="22"/>
        <v>-821.84000000000015</v>
      </c>
      <c r="F76" s="27">
        <f t="shared" si="22"/>
        <v>434.28999999999996</v>
      </c>
      <c r="G76" s="27">
        <f t="shared" si="22"/>
        <v>-351.2199999999998</v>
      </c>
      <c r="H76" s="27">
        <f t="shared" si="22"/>
        <v>2492.41</v>
      </c>
      <c r="I76" s="27">
        <f t="shared" si="22"/>
        <v>-1137.8699999999999</v>
      </c>
      <c r="J76" s="27">
        <f t="shared" si="22"/>
        <v>771.04</v>
      </c>
      <c r="K76" s="27">
        <f t="shared" si="22"/>
        <v>572.62000000000035</v>
      </c>
      <c r="L76" s="27">
        <f t="shared" si="22"/>
        <v>-269.52999999999975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:L15 N15 M21 M24 M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8101-D547-4CB0-AAF0-928EE804E0DD}">
  <sheetPr>
    <tabColor theme="4" tint="-0.249977111117893"/>
  </sheetPr>
  <dimension ref="J16"/>
  <sheetViews>
    <sheetView workbookViewId="0">
      <selection activeCell="E20" sqref="E20"/>
    </sheetView>
  </sheetViews>
  <sheetFormatPr defaultRowHeight="14.4" x14ac:dyDescent="0.3"/>
  <sheetData>
    <row r="16" spans="10:10" x14ac:dyDescent="0.3">
      <c r="J1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3AE9-6F25-4F8B-A972-C9589D6B79EB}"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D60" sqref="D60"/>
    </sheetView>
  </sheetViews>
  <sheetFormatPr defaultColWidth="8.77734375" defaultRowHeight="14.4" x14ac:dyDescent="0.3"/>
  <cols>
    <col min="1" max="1" width="27.6640625" style="9" bestFit="1" customWidth="1"/>
    <col min="2" max="11" width="13.44140625" style="9" bestFit="1" customWidth="1"/>
    <col min="12" max="16384" width="8.77734375" style="9"/>
  </cols>
  <sheetData>
    <row r="1" spans="1:11" s="8" customFormat="1" x14ac:dyDescent="0.3">
      <c r="A1" s="8" t="s">
        <v>8</v>
      </c>
      <c r="B1" s="8" t="s">
        <v>9</v>
      </c>
      <c r="E1" s="67" t="str">
        <f>IF(B2&lt;&gt;B3, "A NEW VERSION OF THE WORKSHEET IS AVAILABLE", "")</f>
        <v/>
      </c>
      <c r="F1" s="67"/>
      <c r="G1" s="67"/>
      <c r="H1" s="67"/>
      <c r="I1" s="67"/>
      <c r="J1" s="67"/>
      <c r="K1" s="67"/>
    </row>
    <row r="2" spans="1:11" x14ac:dyDescent="0.3">
      <c r="A2" s="8" t="s">
        <v>10</v>
      </c>
      <c r="B2" s="9">
        <v>2.1</v>
      </c>
      <c r="E2" s="68" t="s">
        <v>11</v>
      </c>
      <c r="F2" s="68"/>
      <c r="G2" s="68"/>
      <c r="H2" s="68"/>
      <c r="I2" s="68"/>
      <c r="J2" s="68"/>
      <c r="K2" s="68"/>
    </row>
    <row r="3" spans="1:11" x14ac:dyDescent="0.3">
      <c r="A3" s="8" t="s">
        <v>12</v>
      </c>
      <c r="B3" s="9">
        <v>2.1</v>
      </c>
    </row>
    <row r="4" spans="1:11" x14ac:dyDescent="0.3">
      <c r="A4" s="8"/>
    </row>
    <row r="5" spans="1:11" x14ac:dyDescent="0.3">
      <c r="A5" s="8" t="s">
        <v>13</v>
      </c>
    </row>
    <row r="6" spans="1:11" x14ac:dyDescent="0.3">
      <c r="A6" s="9" t="s">
        <v>14</v>
      </c>
      <c r="B6" s="9">
        <f>IF(B9&gt;0, B9/B8, 0)</f>
        <v>95.919777716686951</v>
      </c>
    </row>
    <row r="7" spans="1:11" x14ac:dyDescent="0.3">
      <c r="A7" s="9" t="s">
        <v>15</v>
      </c>
      <c r="B7">
        <v>1</v>
      </c>
    </row>
    <row r="8" spans="1:11" x14ac:dyDescent="0.3">
      <c r="A8" s="9" t="s">
        <v>16</v>
      </c>
      <c r="B8">
        <v>2546.3000000000002</v>
      </c>
    </row>
    <row r="9" spans="1:11" x14ac:dyDescent="0.3">
      <c r="A9" s="9" t="s">
        <v>17</v>
      </c>
      <c r="B9">
        <v>244240.53</v>
      </c>
    </row>
    <row r="15" spans="1:11" x14ac:dyDescent="0.3">
      <c r="A15" s="8" t="s">
        <v>18</v>
      </c>
    </row>
    <row r="16" spans="1:11" s="12" customFormat="1" x14ac:dyDescent="0.3">
      <c r="A16" s="10" t="s">
        <v>19</v>
      </c>
      <c r="B16" s="11">
        <v>42460</v>
      </c>
      <c r="C16" s="11">
        <v>42825</v>
      </c>
      <c r="D16" s="11">
        <v>43190</v>
      </c>
      <c r="E16" s="11">
        <v>43555</v>
      </c>
      <c r="F16" s="11">
        <v>43921</v>
      </c>
      <c r="G16" s="11">
        <v>44286</v>
      </c>
      <c r="H16" s="11">
        <v>44651</v>
      </c>
      <c r="I16" s="11">
        <v>45016</v>
      </c>
      <c r="J16" s="11">
        <v>45382</v>
      </c>
      <c r="K16" s="11">
        <v>45747</v>
      </c>
    </row>
    <row r="17" spans="1:11" s="13" customFormat="1" x14ac:dyDescent="0.3">
      <c r="A17" s="13" t="s">
        <v>20</v>
      </c>
      <c r="B17">
        <v>14271.49</v>
      </c>
      <c r="C17">
        <v>15061.99</v>
      </c>
      <c r="D17">
        <v>16824.55</v>
      </c>
      <c r="E17">
        <v>19240.13</v>
      </c>
      <c r="F17">
        <v>20211.25</v>
      </c>
      <c r="G17">
        <v>21712.79</v>
      </c>
      <c r="H17">
        <v>29101.279999999999</v>
      </c>
      <c r="I17">
        <v>34488.589999999997</v>
      </c>
      <c r="J17">
        <v>35494.730000000003</v>
      </c>
      <c r="K17">
        <v>33905.620000000003</v>
      </c>
    </row>
    <row r="18" spans="1:11" s="13" customFormat="1" x14ac:dyDescent="0.3">
      <c r="A18" s="9" t="s">
        <v>21</v>
      </c>
      <c r="B18">
        <v>6569.83</v>
      </c>
      <c r="C18">
        <v>7452.6</v>
      </c>
      <c r="D18">
        <v>8128.17</v>
      </c>
      <c r="E18">
        <v>9974.4</v>
      </c>
      <c r="F18">
        <v>9981.99</v>
      </c>
      <c r="G18">
        <v>10425.549999999999</v>
      </c>
      <c r="H18">
        <v>17123.25</v>
      </c>
      <c r="I18">
        <v>18985.53</v>
      </c>
      <c r="J18">
        <v>17410.84</v>
      </c>
      <c r="K18">
        <v>17504.509999999998</v>
      </c>
    </row>
    <row r="19" spans="1:11" s="13" customFormat="1" x14ac:dyDescent="0.3">
      <c r="A19" s="9" t="s">
        <v>22</v>
      </c>
      <c r="B19">
        <v>-199.33</v>
      </c>
      <c r="C19">
        <v>528.6</v>
      </c>
      <c r="D19">
        <v>-142.13</v>
      </c>
      <c r="E19">
        <v>293.26</v>
      </c>
      <c r="F19">
        <v>239.15</v>
      </c>
      <c r="G19">
        <v>92.45</v>
      </c>
      <c r="H19">
        <v>1324.97</v>
      </c>
      <c r="I19">
        <v>309.73</v>
      </c>
      <c r="J19">
        <v>-363.8</v>
      </c>
      <c r="K19">
        <v>205</v>
      </c>
    </row>
    <row r="20" spans="1:11" s="13" customFormat="1" x14ac:dyDescent="0.3">
      <c r="A20" s="9" t="s">
        <v>23</v>
      </c>
      <c r="B20">
        <v>114.48</v>
      </c>
      <c r="C20">
        <v>106.02</v>
      </c>
      <c r="D20">
        <v>110.3</v>
      </c>
      <c r="E20">
        <v>119.63</v>
      </c>
      <c r="F20">
        <v>97.79</v>
      </c>
      <c r="G20">
        <v>86.05</v>
      </c>
      <c r="H20">
        <v>117.23</v>
      </c>
      <c r="I20">
        <v>138.29</v>
      </c>
      <c r="J20">
        <v>133.25</v>
      </c>
      <c r="K20">
        <v>148.58000000000001</v>
      </c>
    </row>
    <row r="21" spans="1:11" s="13" customFormat="1" x14ac:dyDescent="0.3">
      <c r="A21" s="9" t="s">
        <v>24</v>
      </c>
      <c r="B21">
        <v>1535.22</v>
      </c>
      <c r="C21">
        <v>1662.75</v>
      </c>
      <c r="D21">
        <v>1691.68</v>
      </c>
      <c r="E21">
        <v>1862.35</v>
      </c>
      <c r="F21">
        <v>1946.12</v>
      </c>
      <c r="G21">
        <v>2068.31</v>
      </c>
      <c r="H21">
        <v>2880.45</v>
      </c>
      <c r="I21">
        <v>2916.2</v>
      </c>
      <c r="J21">
        <v>2767.18</v>
      </c>
      <c r="K21">
        <v>2687.4</v>
      </c>
    </row>
    <row r="22" spans="1:11" s="13" customFormat="1" x14ac:dyDescent="0.3">
      <c r="A22" s="9" t="s">
        <v>25</v>
      </c>
      <c r="B22">
        <v>994.98</v>
      </c>
      <c r="C22">
        <v>1039.8900000000001</v>
      </c>
      <c r="D22">
        <v>1121.8900000000001</v>
      </c>
      <c r="E22">
        <v>1242.69</v>
      </c>
      <c r="F22">
        <v>1371.27</v>
      </c>
      <c r="G22">
        <v>1547.61</v>
      </c>
      <c r="H22">
        <v>1794.61</v>
      </c>
      <c r="I22">
        <v>2036.41</v>
      </c>
      <c r="J22">
        <v>2334.92</v>
      </c>
      <c r="K22">
        <v>2605.7800000000002</v>
      </c>
    </row>
    <row r="23" spans="1:11" s="13" customFormat="1" x14ac:dyDescent="0.3">
      <c r="A23" s="9" t="s">
        <v>26</v>
      </c>
      <c r="B23">
        <v>3912.3</v>
      </c>
      <c r="C23">
        <v>4364.04</v>
      </c>
      <c r="D23">
        <v>2254.92</v>
      </c>
      <c r="E23">
        <v>2366.87</v>
      </c>
      <c r="F23">
        <v>2311.5100000000002</v>
      </c>
      <c r="G23">
        <v>2245.69</v>
      </c>
      <c r="H23">
        <v>2941.98</v>
      </c>
      <c r="I23">
        <v>3500.84</v>
      </c>
      <c r="J23">
        <v>3811.86</v>
      </c>
      <c r="K23">
        <v>3874.94</v>
      </c>
    </row>
    <row r="24" spans="1:11" s="13" customFormat="1" x14ac:dyDescent="0.3">
      <c r="A24" s="9" t="s">
        <v>27</v>
      </c>
      <c r="B24">
        <v>-1779.69</v>
      </c>
      <c r="C24">
        <v>-2028.47</v>
      </c>
      <c r="D24">
        <v>171.45</v>
      </c>
      <c r="E24">
        <v>202.51</v>
      </c>
      <c r="F24">
        <v>584.9</v>
      </c>
      <c r="G24">
        <v>576.42999999999995</v>
      </c>
      <c r="H24">
        <v>765.12</v>
      </c>
      <c r="I24">
        <v>961.21</v>
      </c>
      <c r="J24">
        <v>1087.9000000000001</v>
      </c>
      <c r="K24">
        <v>1283.2</v>
      </c>
    </row>
    <row r="25" spans="1:11" s="13" customFormat="1" x14ac:dyDescent="0.3">
      <c r="A25" s="13" t="s">
        <v>28</v>
      </c>
      <c r="B25">
        <v>213.39</v>
      </c>
      <c r="C25">
        <v>337.9</v>
      </c>
      <c r="D25">
        <v>336.41</v>
      </c>
      <c r="E25">
        <v>273.77</v>
      </c>
      <c r="F25">
        <v>355.05</v>
      </c>
      <c r="G25">
        <v>331.65</v>
      </c>
      <c r="H25">
        <v>295.88</v>
      </c>
      <c r="I25">
        <v>431.46</v>
      </c>
      <c r="J25">
        <v>820.96</v>
      </c>
      <c r="K25">
        <v>350.22</v>
      </c>
    </row>
    <row r="26" spans="1:11" s="13" customFormat="1" x14ac:dyDescent="0.3">
      <c r="A26" s="13" t="s">
        <v>29</v>
      </c>
      <c r="B26">
        <v>275.58</v>
      </c>
      <c r="C26">
        <v>334.79</v>
      </c>
      <c r="D26">
        <v>360.47</v>
      </c>
      <c r="E26">
        <v>622.14</v>
      </c>
      <c r="F26">
        <v>780.5</v>
      </c>
      <c r="G26">
        <v>791.27</v>
      </c>
      <c r="H26">
        <v>816.36</v>
      </c>
      <c r="I26">
        <v>858.02</v>
      </c>
      <c r="J26">
        <v>853</v>
      </c>
      <c r="K26">
        <v>1026.3399999999999</v>
      </c>
    </row>
    <row r="27" spans="1:11" s="13" customFormat="1" x14ac:dyDescent="0.3">
      <c r="A27" s="13" t="s">
        <v>3</v>
      </c>
      <c r="B27">
        <v>49</v>
      </c>
      <c r="C27">
        <v>37.33</v>
      </c>
      <c r="D27">
        <v>41.47</v>
      </c>
      <c r="E27">
        <v>110.47</v>
      </c>
      <c r="F27">
        <v>102.33</v>
      </c>
      <c r="G27">
        <v>91.63</v>
      </c>
      <c r="H27">
        <v>95.41</v>
      </c>
      <c r="I27">
        <v>144.44999999999999</v>
      </c>
      <c r="J27">
        <v>205.17</v>
      </c>
      <c r="K27">
        <v>227.02</v>
      </c>
    </row>
    <row r="28" spans="1:11" s="13" customFormat="1" x14ac:dyDescent="0.3">
      <c r="A28" s="13" t="s">
        <v>30</v>
      </c>
      <c r="B28">
        <v>2613.85</v>
      </c>
      <c r="C28">
        <v>2959.54</v>
      </c>
      <c r="D28">
        <v>3138.48</v>
      </c>
      <c r="E28">
        <v>3306.1</v>
      </c>
      <c r="F28">
        <v>3629.04</v>
      </c>
      <c r="G28">
        <v>4304.3500000000004</v>
      </c>
      <c r="H28">
        <v>4187.72</v>
      </c>
      <c r="I28">
        <v>5688.83</v>
      </c>
      <c r="J28">
        <v>7347.77</v>
      </c>
      <c r="K28">
        <v>5103.07</v>
      </c>
    </row>
    <row r="29" spans="1:11" s="13" customFormat="1" x14ac:dyDescent="0.3">
      <c r="A29" s="13" t="s">
        <v>31</v>
      </c>
      <c r="B29">
        <v>844.49</v>
      </c>
      <c r="C29">
        <v>943.29</v>
      </c>
      <c r="D29">
        <v>1040.96</v>
      </c>
      <c r="E29">
        <v>1098.06</v>
      </c>
      <c r="F29">
        <v>854.85</v>
      </c>
      <c r="G29">
        <v>1097.5999999999999</v>
      </c>
      <c r="H29">
        <v>1102.9100000000001</v>
      </c>
      <c r="I29">
        <v>1493.5</v>
      </c>
      <c r="J29">
        <v>1790.08</v>
      </c>
      <c r="K29">
        <v>1393.36</v>
      </c>
    </row>
    <row r="30" spans="1:11" s="13" customFormat="1" x14ac:dyDescent="0.3">
      <c r="A30" s="13" t="s">
        <v>32</v>
      </c>
      <c r="B30">
        <v>1745.16</v>
      </c>
      <c r="C30">
        <v>1939.43</v>
      </c>
      <c r="D30">
        <v>2038.93</v>
      </c>
      <c r="E30">
        <v>2155.92</v>
      </c>
      <c r="F30">
        <v>2705.17</v>
      </c>
      <c r="G30">
        <v>3139.29</v>
      </c>
      <c r="H30">
        <v>3030.57</v>
      </c>
      <c r="I30">
        <v>4106.45</v>
      </c>
      <c r="J30">
        <v>5460.23</v>
      </c>
      <c r="K30">
        <v>3667.23</v>
      </c>
    </row>
    <row r="31" spans="1:11" s="13" customFormat="1" x14ac:dyDescent="0.3">
      <c r="A31" s="13" t="s">
        <v>33</v>
      </c>
      <c r="B31">
        <v>719.4</v>
      </c>
      <c r="C31">
        <v>987.98</v>
      </c>
      <c r="D31">
        <v>834.5</v>
      </c>
      <c r="E31">
        <v>1007.16</v>
      </c>
      <c r="F31">
        <v>1151.04</v>
      </c>
      <c r="G31">
        <v>1712.17</v>
      </c>
      <c r="H31">
        <v>1836.87</v>
      </c>
      <c r="I31">
        <v>2460.35</v>
      </c>
      <c r="J31">
        <v>3194.14</v>
      </c>
      <c r="K31">
        <v>2378.8200000000002</v>
      </c>
    </row>
    <row r="32" spans="1:11" s="13" customFormat="1" x14ac:dyDescent="0.3"/>
    <row r="33" spans="1:11" x14ac:dyDescent="0.3">
      <c r="A33" s="13"/>
    </row>
    <row r="34" spans="1:11" x14ac:dyDescent="0.3">
      <c r="A34" s="13"/>
    </row>
    <row r="35" spans="1:11" x14ac:dyDescent="0.3">
      <c r="A35" s="13"/>
    </row>
    <row r="36" spans="1:11" x14ac:dyDescent="0.3">
      <c r="A36" s="13"/>
    </row>
    <row r="37" spans="1:11" x14ac:dyDescent="0.3">
      <c r="A37" s="13"/>
    </row>
    <row r="38" spans="1:11" x14ac:dyDescent="0.3">
      <c r="A38" s="13"/>
    </row>
    <row r="39" spans="1:11" x14ac:dyDescent="0.3">
      <c r="A39" s="13"/>
    </row>
    <row r="40" spans="1:11" x14ac:dyDescent="0.3">
      <c r="A40" s="8" t="s">
        <v>34</v>
      </c>
    </row>
    <row r="41" spans="1:11" s="12" customFormat="1" x14ac:dyDescent="0.3">
      <c r="A41" s="10" t="s">
        <v>19</v>
      </c>
      <c r="B41" s="11">
        <v>45016</v>
      </c>
      <c r="C41" s="11">
        <v>45107</v>
      </c>
      <c r="D41" s="11">
        <v>45199</v>
      </c>
      <c r="E41" s="11">
        <v>45291</v>
      </c>
      <c r="F41" s="11">
        <v>45382</v>
      </c>
      <c r="G41" s="11">
        <v>45473</v>
      </c>
      <c r="H41" s="11">
        <v>45565</v>
      </c>
      <c r="I41" s="11">
        <v>45657</v>
      </c>
      <c r="J41" s="11">
        <v>45747</v>
      </c>
      <c r="K41" s="11">
        <v>45838</v>
      </c>
    </row>
    <row r="42" spans="1:11" s="13" customFormat="1" x14ac:dyDescent="0.3">
      <c r="A42" s="13" t="s">
        <v>20</v>
      </c>
      <c r="B42">
        <v>8787.34</v>
      </c>
      <c r="C42">
        <v>9182.31</v>
      </c>
      <c r="D42">
        <v>8478.57</v>
      </c>
      <c r="E42">
        <v>9103.09</v>
      </c>
      <c r="F42">
        <v>8730.76</v>
      </c>
      <c r="G42">
        <v>8969.73</v>
      </c>
      <c r="H42">
        <v>8027.54</v>
      </c>
      <c r="I42">
        <v>8549.44</v>
      </c>
      <c r="J42">
        <v>8358.91</v>
      </c>
      <c r="K42">
        <v>8938.5499999999993</v>
      </c>
    </row>
    <row r="43" spans="1:11" s="13" customFormat="1" x14ac:dyDescent="0.3">
      <c r="A43" s="13" t="s">
        <v>35</v>
      </c>
      <c r="B43">
        <v>6922.58</v>
      </c>
      <c r="C43">
        <v>7061.02</v>
      </c>
      <c r="D43">
        <v>6762.34</v>
      </c>
      <c r="E43">
        <v>7047</v>
      </c>
      <c r="F43">
        <v>7039.39</v>
      </c>
      <c r="G43">
        <v>7275.96</v>
      </c>
      <c r="H43">
        <v>6788.03</v>
      </c>
      <c r="I43">
        <v>6912.71</v>
      </c>
      <c r="J43">
        <v>6922.71</v>
      </c>
      <c r="K43">
        <v>7313.58</v>
      </c>
    </row>
    <row r="44" spans="1:11" s="13" customFormat="1" x14ac:dyDescent="0.3">
      <c r="A44" s="13" t="s">
        <v>28</v>
      </c>
      <c r="B44">
        <v>104.17</v>
      </c>
      <c r="C44">
        <v>227.74</v>
      </c>
      <c r="D44">
        <v>194.33</v>
      </c>
      <c r="E44">
        <v>186.46</v>
      </c>
      <c r="F44">
        <v>212.43</v>
      </c>
      <c r="G44">
        <v>192.93</v>
      </c>
      <c r="H44">
        <v>24.53</v>
      </c>
      <c r="I44">
        <v>192.82</v>
      </c>
      <c r="J44">
        <v>-60.06</v>
      </c>
      <c r="K44">
        <v>229.11</v>
      </c>
    </row>
    <row r="45" spans="1:11" s="13" customFormat="1" x14ac:dyDescent="0.3">
      <c r="A45" s="13" t="s">
        <v>29</v>
      </c>
      <c r="B45">
        <v>220.17</v>
      </c>
      <c r="C45">
        <v>198.32</v>
      </c>
      <c r="D45">
        <v>208.72</v>
      </c>
      <c r="E45">
        <v>220.35</v>
      </c>
      <c r="F45">
        <v>225.61</v>
      </c>
      <c r="G45">
        <v>227.7</v>
      </c>
      <c r="H45">
        <v>241.99</v>
      </c>
      <c r="I45">
        <v>255.55</v>
      </c>
      <c r="J45">
        <v>301.10000000000002</v>
      </c>
      <c r="K45">
        <v>300.87</v>
      </c>
    </row>
    <row r="46" spans="1:11" s="13" customFormat="1" x14ac:dyDescent="0.3">
      <c r="A46" s="13" t="s">
        <v>3</v>
      </c>
      <c r="B46">
        <v>38.909999999999997</v>
      </c>
      <c r="C46">
        <v>45.75</v>
      </c>
      <c r="D46">
        <v>50.9</v>
      </c>
      <c r="E46">
        <v>54.42</v>
      </c>
      <c r="F46">
        <v>54.1</v>
      </c>
      <c r="G46">
        <v>55.38</v>
      </c>
      <c r="H46">
        <v>63.01</v>
      </c>
      <c r="I46">
        <v>55.84</v>
      </c>
      <c r="J46">
        <v>52.79</v>
      </c>
      <c r="K46">
        <v>44.5</v>
      </c>
    </row>
    <row r="47" spans="1:11" s="13" customFormat="1" x14ac:dyDescent="0.3">
      <c r="A47" s="13" t="s">
        <v>30</v>
      </c>
      <c r="B47">
        <v>1709.85</v>
      </c>
      <c r="C47">
        <v>2104.96</v>
      </c>
      <c r="D47">
        <v>1650.94</v>
      </c>
      <c r="E47">
        <v>1967.78</v>
      </c>
      <c r="F47">
        <v>1624.09</v>
      </c>
      <c r="G47">
        <v>1603.62</v>
      </c>
      <c r="H47">
        <v>959.04</v>
      </c>
      <c r="I47">
        <v>1518.16</v>
      </c>
      <c r="J47">
        <v>1022.25</v>
      </c>
      <c r="K47">
        <v>1508.71</v>
      </c>
    </row>
    <row r="48" spans="1:11" s="13" customFormat="1" x14ac:dyDescent="0.3">
      <c r="A48" s="13" t="s">
        <v>31</v>
      </c>
      <c r="B48">
        <v>451.44</v>
      </c>
      <c r="C48">
        <v>530.12</v>
      </c>
      <c r="D48">
        <v>418.55</v>
      </c>
      <c r="E48">
        <v>492.62</v>
      </c>
      <c r="F48">
        <v>348.79</v>
      </c>
      <c r="G48">
        <v>416.83</v>
      </c>
      <c r="H48">
        <v>265.38</v>
      </c>
      <c r="I48">
        <v>389.73</v>
      </c>
      <c r="J48">
        <v>321.42</v>
      </c>
      <c r="K48">
        <v>391.66</v>
      </c>
    </row>
    <row r="49" spans="1:11" s="13" customFormat="1" x14ac:dyDescent="0.3">
      <c r="A49" s="13" t="s">
        <v>32</v>
      </c>
      <c r="B49">
        <v>1234.1400000000001</v>
      </c>
      <c r="C49">
        <v>1550.37</v>
      </c>
      <c r="D49">
        <v>1205.42</v>
      </c>
      <c r="E49">
        <v>1447.72</v>
      </c>
      <c r="F49">
        <v>1256.72</v>
      </c>
      <c r="G49">
        <v>1169.98</v>
      </c>
      <c r="H49">
        <v>694.64</v>
      </c>
      <c r="I49">
        <v>1110.48</v>
      </c>
      <c r="J49">
        <v>692.13</v>
      </c>
      <c r="K49">
        <v>1099.77</v>
      </c>
    </row>
    <row r="50" spans="1:11" x14ac:dyDescent="0.3">
      <c r="A50" s="13" t="s">
        <v>36</v>
      </c>
      <c r="B50">
        <v>1864.76</v>
      </c>
      <c r="C50">
        <v>2121.29</v>
      </c>
      <c r="D50">
        <v>1716.23</v>
      </c>
      <c r="E50">
        <v>2056.09</v>
      </c>
      <c r="F50">
        <v>1691.37</v>
      </c>
      <c r="G50">
        <v>1693.77</v>
      </c>
      <c r="H50">
        <v>1239.51</v>
      </c>
      <c r="I50">
        <v>1636.73</v>
      </c>
      <c r="J50">
        <v>1436.2</v>
      </c>
      <c r="K50">
        <v>1624.97</v>
      </c>
    </row>
    <row r="51" spans="1:11" x14ac:dyDescent="0.3">
      <c r="A51" s="13"/>
    </row>
    <row r="52" spans="1:11" x14ac:dyDescent="0.3">
      <c r="A52" s="13"/>
    </row>
    <row r="53" spans="1:11" x14ac:dyDescent="0.3">
      <c r="A53" s="13"/>
    </row>
    <row r="54" spans="1:11" x14ac:dyDescent="0.3">
      <c r="A54" s="13"/>
    </row>
    <row r="55" spans="1:11" x14ac:dyDescent="0.3">
      <c r="A55" s="8" t="s">
        <v>37</v>
      </c>
    </row>
    <row r="56" spans="1:11" s="12" customFormat="1" x14ac:dyDescent="0.3">
      <c r="A56" s="10" t="s">
        <v>19</v>
      </c>
      <c r="B56" s="11">
        <v>42460</v>
      </c>
      <c r="C56" s="11">
        <v>42825</v>
      </c>
      <c r="D56" s="11">
        <v>43190</v>
      </c>
      <c r="E56" s="11">
        <v>43555</v>
      </c>
      <c r="F56" s="11">
        <v>43921</v>
      </c>
      <c r="G56" s="11">
        <v>44286</v>
      </c>
      <c r="H56" s="11">
        <v>44651</v>
      </c>
      <c r="I56" s="11">
        <v>45016</v>
      </c>
      <c r="J56" s="11">
        <v>45382</v>
      </c>
      <c r="K56" s="11">
        <v>45747</v>
      </c>
    </row>
    <row r="57" spans="1:11" x14ac:dyDescent="0.3">
      <c r="A57" s="13" t="s">
        <v>38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3">
      <c r="A58" s="13" t="s">
        <v>39</v>
      </c>
      <c r="B58">
        <v>6428.9</v>
      </c>
      <c r="C58">
        <v>7507.97</v>
      </c>
      <c r="D58">
        <v>8314.31</v>
      </c>
      <c r="E58">
        <v>9374.6299999999992</v>
      </c>
      <c r="F58">
        <v>10034.24</v>
      </c>
      <c r="G58">
        <v>12710.37</v>
      </c>
      <c r="H58">
        <v>13715.64</v>
      </c>
      <c r="I58">
        <v>15896.31</v>
      </c>
      <c r="J58">
        <v>18632.38</v>
      </c>
      <c r="K58">
        <v>19303.89</v>
      </c>
    </row>
    <row r="59" spans="1:11" x14ac:dyDescent="0.3">
      <c r="A59" s="13" t="s">
        <v>40</v>
      </c>
      <c r="B59">
        <v>323.29000000000002</v>
      </c>
      <c r="C59">
        <v>560.34</v>
      </c>
      <c r="D59">
        <v>533.42999999999995</v>
      </c>
      <c r="E59">
        <v>1319.6</v>
      </c>
      <c r="F59">
        <v>1118.5</v>
      </c>
      <c r="G59">
        <v>1093.1199999999999</v>
      </c>
      <c r="H59">
        <v>1586.88</v>
      </c>
      <c r="I59">
        <v>1932.62</v>
      </c>
      <c r="J59">
        <v>2474.38</v>
      </c>
      <c r="K59">
        <v>2290.29</v>
      </c>
    </row>
    <row r="60" spans="1:11" x14ac:dyDescent="0.3">
      <c r="A60" s="13" t="s">
        <v>41</v>
      </c>
      <c r="B60">
        <v>3710.92</v>
      </c>
      <c r="C60">
        <v>4240.96</v>
      </c>
      <c r="D60">
        <v>4819.82</v>
      </c>
      <c r="E60">
        <v>5458.69</v>
      </c>
      <c r="F60">
        <v>4889.3100000000004</v>
      </c>
      <c r="G60">
        <v>6455.93</v>
      </c>
      <c r="H60">
        <v>7559.99</v>
      </c>
      <c r="I60">
        <v>7854.48</v>
      </c>
      <c r="J60">
        <v>8698.09</v>
      </c>
      <c r="K60">
        <v>8665.15</v>
      </c>
    </row>
    <row r="61" spans="1:11" s="8" customFormat="1" x14ac:dyDescent="0.3">
      <c r="A61" s="8" t="s">
        <v>6</v>
      </c>
      <c r="B61">
        <v>10559.03</v>
      </c>
      <c r="C61">
        <v>12405.19</v>
      </c>
      <c r="D61">
        <v>13763.48</v>
      </c>
      <c r="E61">
        <v>16248.84</v>
      </c>
      <c r="F61">
        <v>16137.97</v>
      </c>
      <c r="G61">
        <v>20355.34</v>
      </c>
      <c r="H61">
        <v>22958.43</v>
      </c>
      <c r="I61">
        <v>25779.33</v>
      </c>
      <c r="J61">
        <v>29900.77</v>
      </c>
      <c r="K61">
        <v>30355.25</v>
      </c>
    </row>
    <row r="62" spans="1:11" x14ac:dyDescent="0.3">
      <c r="A62" s="13" t="s">
        <v>42</v>
      </c>
      <c r="B62">
        <v>3416.35</v>
      </c>
      <c r="C62">
        <v>3303.74</v>
      </c>
      <c r="D62">
        <v>3732.24</v>
      </c>
      <c r="E62">
        <v>6496.56</v>
      </c>
      <c r="F62">
        <v>6272.31</v>
      </c>
      <c r="G62">
        <v>5858.52</v>
      </c>
      <c r="H62">
        <v>5519.06</v>
      </c>
      <c r="I62">
        <v>5770.46</v>
      </c>
      <c r="J62">
        <v>7146.62</v>
      </c>
      <c r="K62">
        <v>9220.1</v>
      </c>
    </row>
    <row r="63" spans="1:11" x14ac:dyDescent="0.3">
      <c r="A63" s="13" t="s">
        <v>43</v>
      </c>
      <c r="B63">
        <v>106.59</v>
      </c>
      <c r="C63">
        <v>257.54000000000002</v>
      </c>
      <c r="D63">
        <v>1405.11</v>
      </c>
      <c r="E63">
        <v>209.67</v>
      </c>
      <c r="F63">
        <v>140.24</v>
      </c>
      <c r="G63">
        <v>182.98</v>
      </c>
      <c r="H63">
        <v>426.43</v>
      </c>
      <c r="I63">
        <v>1019.59</v>
      </c>
      <c r="J63">
        <v>2698.37</v>
      </c>
      <c r="K63">
        <v>1254.49</v>
      </c>
    </row>
    <row r="64" spans="1:11" x14ac:dyDescent="0.3">
      <c r="A64" s="13" t="s">
        <v>44</v>
      </c>
      <c r="B64">
        <v>2712.13</v>
      </c>
      <c r="C64">
        <v>2651.99</v>
      </c>
      <c r="D64">
        <v>2140.6999999999998</v>
      </c>
      <c r="E64">
        <v>2568.58</v>
      </c>
      <c r="F64">
        <v>2018.85</v>
      </c>
      <c r="G64">
        <v>4736.8</v>
      </c>
      <c r="H64">
        <v>3247.53</v>
      </c>
      <c r="I64">
        <v>4261.71</v>
      </c>
      <c r="J64">
        <v>4587.92</v>
      </c>
      <c r="K64">
        <v>4724.75</v>
      </c>
    </row>
    <row r="65" spans="1:11" x14ac:dyDescent="0.3">
      <c r="A65" s="13" t="s">
        <v>45</v>
      </c>
      <c r="B65">
        <v>4323.96</v>
      </c>
      <c r="C65">
        <v>6191.92</v>
      </c>
      <c r="D65">
        <v>6485.43</v>
      </c>
      <c r="E65">
        <v>6974.03</v>
      </c>
      <c r="F65">
        <v>7706.57</v>
      </c>
      <c r="G65">
        <v>9577.0400000000009</v>
      </c>
      <c r="H65">
        <v>13765.41</v>
      </c>
      <c r="I65">
        <v>14727.57</v>
      </c>
      <c r="J65">
        <v>15467.86</v>
      </c>
      <c r="K65">
        <v>15155.91</v>
      </c>
    </row>
    <row r="66" spans="1:11" s="8" customFormat="1" x14ac:dyDescent="0.3">
      <c r="A66" s="8" t="s">
        <v>6</v>
      </c>
      <c r="B66">
        <v>10559.03</v>
      </c>
      <c r="C66">
        <v>12405.19</v>
      </c>
      <c r="D66">
        <v>13763.48</v>
      </c>
      <c r="E66">
        <v>16248.84</v>
      </c>
      <c r="F66">
        <v>16137.97</v>
      </c>
      <c r="G66">
        <v>20355.34</v>
      </c>
      <c r="H66">
        <v>22958.43</v>
      </c>
      <c r="I66">
        <v>25779.33</v>
      </c>
      <c r="J66">
        <v>29900.77</v>
      </c>
      <c r="K66">
        <v>30355.25</v>
      </c>
    </row>
    <row r="67" spans="1:11" s="13" customFormat="1" x14ac:dyDescent="0.3">
      <c r="A67" s="13" t="s">
        <v>46</v>
      </c>
      <c r="B67">
        <v>1186.8399999999999</v>
      </c>
      <c r="C67">
        <v>1446.6</v>
      </c>
      <c r="D67">
        <v>1730.63</v>
      </c>
      <c r="E67">
        <v>1907.33</v>
      </c>
      <c r="F67">
        <v>1795.22</v>
      </c>
      <c r="G67">
        <v>2602.17</v>
      </c>
      <c r="H67">
        <v>3871.44</v>
      </c>
      <c r="I67">
        <v>4636.9399999999996</v>
      </c>
      <c r="J67">
        <v>4889.05</v>
      </c>
      <c r="K67">
        <v>4313.6499999999996</v>
      </c>
    </row>
    <row r="68" spans="1:11" x14ac:dyDescent="0.3">
      <c r="A68" s="13" t="s">
        <v>47</v>
      </c>
      <c r="B68">
        <v>1998.24</v>
      </c>
      <c r="C68">
        <v>2626.94</v>
      </c>
      <c r="D68">
        <v>2658.31</v>
      </c>
      <c r="E68">
        <v>3149.86</v>
      </c>
      <c r="F68">
        <v>3389.81</v>
      </c>
      <c r="G68">
        <v>3798.6</v>
      </c>
      <c r="H68">
        <v>6152.98</v>
      </c>
      <c r="I68">
        <v>6210.64</v>
      </c>
      <c r="J68">
        <v>5923.41</v>
      </c>
      <c r="K68">
        <v>6719.27</v>
      </c>
    </row>
    <row r="69" spans="1:11" x14ac:dyDescent="0.3">
      <c r="A69" s="9" t="s">
        <v>48</v>
      </c>
      <c r="B69">
        <v>424.2</v>
      </c>
      <c r="C69">
        <v>801.21</v>
      </c>
      <c r="D69">
        <v>404.65</v>
      </c>
      <c r="E69">
        <v>444.88</v>
      </c>
      <c r="F69">
        <v>782.83</v>
      </c>
      <c r="G69">
        <v>610.75</v>
      </c>
      <c r="H69">
        <v>864.33</v>
      </c>
      <c r="I69">
        <v>843.82</v>
      </c>
      <c r="J69">
        <v>1084.01</v>
      </c>
      <c r="K69">
        <v>781.98</v>
      </c>
    </row>
    <row r="70" spans="1:11" x14ac:dyDescent="0.3">
      <c r="A70" s="9" t="s">
        <v>49</v>
      </c>
      <c r="B70">
        <v>959197790</v>
      </c>
      <c r="C70">
        <v>959197790</v>
      </c>
      <c r="D70">
        <v>959197790</v>
      </c>
      <c r="E70">
        <v>959197790</v>
      </c>
      <c r="F70">
        <v>959197790</v>
      </c>
      <c r="G70">
        <v>959197790</v>
      </c>
      <c r="H70">
        <v>959197790</v>
      </c>
      <c r="I70">
        <v>959197790</v>
      </c>
      <c r="J70">
        <v>959197790</v>
      </c>
      <c r="K70">
        <v>959197790</v>
      </c>
    </row>
    <row r="71" spans="1:11" x14ac:dyDescent="0.3">
      <c r="A71" s="9" t="s">
        <v>50</v>
      </c>
    </row>
    <row r="72" spans="1:11" x14ac:dyDescent="0.3">
      <c r="A72" s="9" t="s">
        <v>51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">
      <c r="A74" s="13"/>
    </row>
    <row r="75" spans="1:11" x14ac:dyDescent="0.3">
      <c r="A75" s="13"/>
    </row>
    <row r="76" spans="1:11" x14ac:dyDescent="0.3">
      <c r="A76" s="13"/>
    </row>
    <row r="77" spans="1:11" x14ac:dyDescent="0.3">
      <c r="A77" s="13"/>
    </row>
    <row r="78" spans="1:11" x14ac:dyDescent="0.3">
      <c r="A78" s="13"/>
    </row>
    <row r="79" spans="1:11" x14ac:dyDescent="0.3">
      <c r="A79" s="13"/>
    </row>
    <row r="80" spans="1:11" x14ac:dyDescent="0.3">
      <c r="A80" s="8" t="s">
        <v>52</v>
      </c>
    </row>
    <row r="81" spans="1:11" s="12" customFormat="1" x14ac:dyDescent="0.3">
      <c r="A81" s="10" t="s">
        <v>19</v>
      </c>
      <c r="B81" s="11">
        <v>42460</v>
      </c>
      <c r="C81" s="11">
        <v>42825</v>
      </c>
      <c r="D81" s="11">
        <v>43190</v>
      </c>
      <c r="E81" s="11">
        <v>43555</v>
      </c>
      <c r="F81" s="11">
        <v>43921</v>
      </c>
      <c r="G81" s="11">
        <v>44286</v>
      </c>
      <c r="H81" s="11">
        <v>44651</v>
      </c>
      <c r="I81" s="11">
        <v>45016</v>
      </c>
      <c r="J81" s="11">
        <v>45382</v>
      </c>
      <c r="K81" s="11">
        <v>45747</v>
      </c>
    </row>
    <row r="82" spans="1:11" s="8" customFormat="1" x14ac:dyDescent="0.3">
      <c r="A82" s="13" t="s">
        <v>53</v>
      </c>
      <c r="B82">
        <v>2242.9499999999998</v>
      </c>
      <c r="C82">
        <v>1527.33</v>
      </c>
      <c r="D82">
        <v>2113.44</v>
      </c>
      <c r="E82">
        <v>2469.54</v>
      </c>
      <c r="F82">
        <v>3038.15</v>
      </c>
      <c r="G82">
        <v>3683.35</v>
      </c>
      <c r="H82">
        <v>986.49</v>
      </c>
      <c r="I82">
        <v>4193.43</v>
      </c>
      <c r="J82">
        <v>6103.6</v>
      </c>
      <c r="K82">
        <v>4423.96</v>
      </c>
    </row>
    <row r="83" spans="1:11" s="13" customFormat="1" x14ac:dyDescent="0.3">
      <c r="A83" s="13" t="s">
        <v>54</v>
      </c>
      <c r="B83">
        <v>-866.21</v>
      </c>
      <c r="C83">
        <v>-681.11</v>
      </c>
      <c r="D83">
        <v>-1556.14</v>
      </c>
      <c r="E83">
        <v>-917.79</v>
      </c>
      <c r="F83">
        <v>-517.91</v>
      </c>
      <c r="G83">
        <v>-540.54</v>
      </c>
      <c r="H83">
        <v>-316.75</v>
      </c>
      <c r="I83">
        <v>-1282.3399999999999</v>
      </c>
      <c r="J83">
        <v>-2548.48</v>
      </c>
      <c r="K83">
        <v>-940.91</v>
      </c>
    </row>
    <row r="84" spans="1:11" s="13" customFormat="1" x14ac:dyDescent="0.3">
      <c r="A84" s="13" t="s">
        <v>55</v>
      </c>
      <c r="B84">
        <v>-848.98</v>
      </c>
      <c r="C84">
        <v>-756.43</v>
      </c>
      <c r="D84">
        <v>-1379.14</v>
      </c>
      <c r="E84">
        <v>-1117.46</v>
      </c>
      <c r="F84">
        <v>-2871.46</v>
      </c>
      <c r="G84">
        <v>-650.4</v>
      </c>
      <c r="H84">
        <v>-1807.61</v>
      </c>
      <c r="I84">
        <v>-2140.0500000000002</v>
      </c>
      <c r="J84">
        <v>-2982.5</v>
      </c>
      <c r="K84">
        <v>-3752.58</v>
      </c>
    </row>
    <row r="85" spans="1:11" s="8" customFormat="1" x14ac:dyDescent="0.3">
      <c r="A85" s="13" t="s">
        <v>56</v>
      </c>
      <c r="B85">
        <v>527.76</v>
      </c>
      <c r="C85">
        <v>89.79</v>
      </c>
      <c r="D85">
        <v>-821.84</v>
      </c>
      <c r="E85">
        <v>434.29</v>
      </c>
      <c r="F85">
        <v>-351.22</v>
      </c>
      <c r="G85">
        <v>2492.41</v>
      </c>
      <c r="H85">
        <v>-1137.8699999999999</v>
      </c>
      <c r="I85">
        <v>771.04</v>
      </c>
      <c r="J85">
        <v>572.62</v>
      </c>
      <c r="K85">
        <v>-269.52999999999997</v>
      </c>
    </row>
    <row r="86" spans="1:11" x14ac:dyDescent="0.3">
      <c r="A86" s="13"/>
    </row>
    <row r="87" spans="1:11" x14ac:dyDescent="0.3">
      <c r="A87" s="13"/>
    </row>
    <row r="88" spans="1:11" x14ac:dyDescent="0.3">
      <c r="A88" s="13"/>
    </row>
    <row r="89" spans="1:11" x14ac:dyDescent="0.3">
      <c r="A89" s="13"/>
    </row>
    <row r="90" spans="1:11" s="8" customFormat="1" x14ac:dyDescent="0.3">
      <c r="A90" s="8" t="s">
        <v>57</v>
      </c>
      <c r="B90">
        <v>868.4</v>
      </c>
      <c r="C90">
        <v>1073.5</v>
      </c>
      <c r="D90">
        <v>1120.4000000000001</v>
      </c>
      <c r="E90">
        <v>1492.7</v>
      </c>
      <c r="F90">
        <v>1666.5</v>
      </c>
      <c r="G90">
        <v>2537.4</v>
      </c>
      <c r="H90">
        <v>3079.95</v>
      </c>
      <c r="I90">
        <v>2761.65</v>
      </c>
      <c r="J90">
        <v>2846.75</v>
      </c>
      <c r="K90">
        <v>2340.65</v>
      </c>
    </row>
    <row r="92" spans="1:11" s="8" customFormat="1" x14ac:dyDescent="0.3">
      <c r="A92" s="8" t="s">
        <v>58</v>
      </c>
    </row>
    <row r="93" spans="1:11" x14ac:dyDescent="0.3">
      <c r="A93" s="9" t="s">
        <v>59</v>
      </c>
      <c r="B93" s="14">
        <v>95.92</v>
      </c>
      <c r="C93" s="14">
        <v>95.92</v>
      </c>
      <c r="D93" s="14">
        <v>95.92</v>
      </c>
      <c r="E93" s="14">
        <v>95.92</v>
      </c>
      <c r="F93" s="14">
        <v>95.92</v>
      </c>
      <c r="G93" s="14">
        <v>95.92</v>
      </c>
      <c r="H93" s="14">
        <v>95.92</v>
      </c>
      <c r="I93" s="14">
        <v>95.92</v>
      </c>
      <c r="J93" s="14">
        <v>95.92</v>
      </c>
      <c r="K93" s="14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CBF09C7-C5EE-4E16-9E17-C373ECACE7C4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48D6-DE01-4416-9335-FB4AE8DC077A}">
  <sheetPr>
    <tabColor theme="5" tint="-0.499984740745262"/>
  </sheetPr>
  <dimension ref="A3:K67"/>
  <sheetViews>
    <sheetView showGridLines="0" tabSelected="1" workbookViewId="0">
      <selection activeCell="O15" sqref="O15"/>
    </sheetView>
  </sheetViews>
  <sheetFormatPr defaultRowHeight="14.4" x14ac:dyDescent="0.3"/>
  <cols>
    <col min="1" max="1" width="1.88671875" customWidth="1"/>
    <col min="2" max="2" width="27" customWidth="1"/>
    <col min="7" max="7" width="11" bestFit="1" customWidth="1"/>
    <col min="8" max="8" width="9.6640625" bestFit="1" customWidth="1"/>
    <col min="9" max="9" width="10.109375" customWidth="1"/>
    <col min="10" max="10" width="13.5546875" bestFit="1" customWidth="1"/>
    <col min="11" max="11" width="9.109375" bestFit="1" customWidth="1"/>
  </cols>
  <sheetData>
    <row r="3" spans="1:11" x14ac:dyDescent="0.3">
      <c r="A3" s="4" t="s">
        <v>5</v>
      </c>
      <c r="B3" s="38" t="s">
        <v>152</v>
      </c>
      <c r="C3" s="38"/>
      <c r="D3" s="38"/>
      <c r="E3" s="38"/>
      <c r="F3" s="38"/>
      <c r="G3" s="31">
        <f>'Raw Fs'!J$2</f>
        <v>44256</v>
      </c>
      <c r="H3" s="31">
        <f>'Raw Fs'!K$2</f>
        <v>44621</v>
      </c>
      <c r="I3" s="31">
        <f>'Raw Fs'!L$2</f>
        <v>44986</v>
      </c>
      <c r="J3" s="31">
        <f>'Raw Fs'!M$2</f>
        <v>45352</v>
      </c>
      <c r="K3" s="31">
        <f>'Raw Fs'!N$2</f>
        <v>45717</v>
      </c>
    </row>
    <row r="5" spans="1:11" x14ac:dyDescent="0.3">
      <c r="B5" s="1" t="s">
        <v>153</v>
      </c>
    </row>
    <row r="6" spans="1:11" x14ac:dyDescent="0.3">
      <c r="B6" s="41" t="str">
        <f>'Raw Fs'!B32</f>
        <v>Inventories</v>
      </c>
      <c r="C6" s="41"/>
      <c r="D6" s="41"/>
      <c r="E6" s="41"/>
      <c r="F6" s="48"/>
      <c r="G6" s="48">
        <f>'Raw Fs'!J32</f>
        <v>3799</v>
      </c>
      <c r="H6" s="48">
        <f>'Raw Fs'!K32</f>
        <v>6153</v>
      </c>
      <c r="I6" s="48">
        <f>'Raw Fs'!L32</f>
        <v>6211</v>
      </c>
      <c r="J6" s="48">
        <f>'Raw Fs'!M32</f>
        <v>5923</v>
      </c>
      <c r="K6" s="48">
        <f>'Raw Fs'!N32</f>
        <v>6719</v>
      </c>
    </row>
    <row r="7" spans="1:11" x14ac:dyDescent="0.3">
      <c r="B7" s="41" t="str">
        <f>'Raw Fs'!B34</f>
        <v>Receivables over 6m</v>
      </c>
      <c r="C7" s="41"/>
      <c r="D7" s="41"/>
      <c r="E7" s="41"/>
      <c r="F7" s="48"/>
      <c r="G7" s="48">
        <f>'Raw Fs'!J34</f>
        <v>0</v>
      </c>
      <c r="H7" s="48">
        <f>'Raw Fs'!K34</f>
        <v>279</v>
      </c>
      <c r="I7" s="48">
        <f>'Raw Fs'!L34</f>
        <v>366</v>
      </c>
      <c r="J7" s="48">
        <f>'Raw Fs'!M34</f>
        <v>588</v>
      </c>
      <c r="K7" s="48">
        <f>'Raw Fs'!N34</f>
        <v>726</v>
      </c>
    </row>
    <row r="8" spans="1:11" x14ac:dyDescent="0.3">
      <c r="B8" s="41" t="str">
        <f>'Raw Fs'!B35</f>
        <v>Receivables under 6m</v>
      </c>
      <c r="C8" s="41"/>
      <c r="D8" s="41"/>
      <c r="E8" s="41"/>
      <c r="F8" s="48"/>
      <c r="G8" s="48">
        <f>'Raw Fs'!J35</f>
        <v>2787</v>
      </c>
      <c r="H8" s="48">
        <f>'Raw Fs'!K35</f>
        <v>3834</v>
      </c>
      <c r="I8" s="48">
        <f>'Raw Fs'!L35</f>
        <v>4576</v>
      </c>
      <c r="J8" s="48">
        <f>'Raw Fs'!M35</f>
        <v>4723</v>
      </c>
      <c r="K8" s="48">
        <f>'Raw Fs'!N35</f>
        <v>4250</v>
      </c>
    </row>
    <row r="9" spans="1:11" x14ac:dyDescent="0.3">
      <c r="B9" s="41" t="str">
        <f>'Raw Fs'!B36</f>
        <v>Prov for Doubtful</v>
      </c>
      <c r="C9" s="41"/>
      <c r="D9" s="41"/>
      <c r="E9" s="41"/>
      <c r="F9" s="48"/>
      <c r="G9" s="48">
        <f>'Raw Fs'!J36</f>
        <v>-185</v>
      </c>
      <c r="H9" s="48">
        <f>'Raw Fs'!K36</f>
        <v>-241</v>
      </c>
      <c r="I9" s="48">
        <f>'Raw Fs'!L36</f>
        <v>-305</v>
      </c>
      <c r="J9" s="48">
        <f>'Raw Fs'!M36</f>
        <v>-422</v>
      </c>
      <c r="K9" s="48">
        <f>'Raw Fs'!N36</f>
        <v>-663</v>
      </c>
    </row>
    <row r="10" spans="1:11" x14ac:dyDescent="0.3">
      <c r="B10" s="41" t="str">
        <f>'Raw Fs'!B38</f>
        <v>Loans n Advances</v>
      </c>
      <c r="C10" s="41"/>
      <c r="D10" s="41"/>
      <c r="E10" s="41"/>
      <c r="F10" s="48"/>
      <c r="G10" s="48">
        <f>'Raw Fs'!J38</f>
        <v>11</v>
      </c>
      <c r="H10" s="48">
        <f>'Raw Fs'!K38</f>
        <v>8</v>
      </c>
      <c r="I10" s="48">
        <f>'Raw Fs'!L38</f>
        <v>12</v>
      </c>
      <c r="J10" s="48">
        <f>'Raw Fs'!M38</f>
        <v>17</v>
      </c>
      <c r="K10" s="48">
        <f>'Raw Fs'!N38</f>
        <v>22</v>
      </c>
    </row>
    <row r="11" spans="1:11" x14ac:dyDescent="0.3">
      <c r="B11" t="str">
        <f>'Raw Fs'!B39</f>
        <v>Other asset items</v>
      </c>
      <c r="F11" s="49"/>
      <c r="G11" s="49">
        <f>'Raw Fs'!J39</f>
        <v>2555</v>
      </c>
      <c r="H11" s="49">
        <f>'Raw Fs'!K39</f>
        <v>2869</v>
      </c>
      <c r="I11" s="49">
        <f>'Raw Fs'!L39</f>
        <v>3024</v>
      </c>
      <c r="J11" s="49">
        <f>'Raw Fs'!M39</f>
        <v>3555</v>
      </c>
      <c r="K11" s="49">
        <f>'Raw Fs'!N39</f>
        <v>3319</v>
      </c>
    </row>
    <row r="12" spans="1:11" x14ac:dyDescent="0.3">
      <c r="B12" s="40" t="s">
        <v>154</v>
      </c>
      <c r="C12" s="6"/>
      <c r="D12" s="6"/>
      <c r="E12" s="6"/>
      <c r="F12" s="55"/>
      <c r="G12" s="50">
        <f>SUM(G6:G11)</f>
        <v>8967</v>
      </c>
      <c r="H12" s="50">
        <f t="shared" ref="H12:K12" si="0">SUM(H6:H11)</f>
        <v>12902</v>
      </c>
      <c r="I12" s="50">
        <f t="shared" si="0"/>
        <v>13884</v>
      </c>
      <c r="J12" s="50">
        <f t="shared" si="0"/>
        <v>14384</v>
      </c>
      <c r="K12" s="50">
        <f t="shared" si="0"/>
        <v>14373</v>
      </c>
    </row>
    <row r="13" spans="1:11" x14ac:dyDescent="0.3">
      <c r="F13" s="49"/>
      <c r="G13" s="49"/>
      <c r="H13" s="49"/>
      <c r="I13" s="49"/>
      <c r="J13" s="49"/>
      <c r="K13" s="49"/>
    </row>
    <row r="14" spans="1:11" x14ac:dyDescent="0.3">
      <c r="B14" s="1" t="s">
        <v>155</v>
      </c>
      <c r="F14" s="49"/>
      <c r="G14" s="49"/>
      <c r="H14" s="49"/>
      <c r="I14" s="49"/>
      <c r="J14" s="49"/>
      <c r="K14" s="49"/>
    </row>
    <row r="15" spans="1:11" x14ac:dyDescent="0.3">
      <c r="B15" s="41" t="str">
        <f>'Raw Fs'!B13</f>
        <v>Trade Payables</v>
      </c>
      <c r="C15" s="41"/>
      <c r="D15" s="41"/>
      <c r="E15" s="41"/>
      <c r="F15" s="48"/>
      <c r="G15" s="48">
        <f>'Raw Fs'!J13</f>
        <v>3379</v>
      </c>
      <c r="H15" s="48">
        <f>'Raw Fs'!K13</f>
        <v>4164</v>
      </c>
      <c r="I15" s="48">
        <f>'Raw Fs'!L13</f>
        <v>3635</v>
      </c>
      <c r="J15" s="48">
        <f>'Raw Fs'!M13</f>
        <v>3831</v>
      </c>
      <c r="K15" s="48">
        <f>'Raw Fs'!N13</f>
        <v>3848</v>
      </c>
    </row>
    <row r="16" spans="1:11" x14ac:dyDescent="0.3">
      <c r="B16" s="41" t="str">
        <f>'Raw Fs'!B14</f>
        <v>Advance from Customers</v>
      </c>
      <c r="C16" s="41"/>
      <c r="D16" s="41"/>
      <c r="E16" s="41"/>
      <c r="F16" s="48"/>
      <c r="G16" s="48">
        <f>'Raw Fs'!J14</f>
        <v>41</v>
      </c>
      <c r="H16" s="48">
        <f>'Raw Fs'!K14</f>
        <v>76</v>
      </c>
      <c r="I16" s="48">
        <f>'Raw Fs'!L14</f>
        <v>108</v>
      </c>
      <c r="J16" s="48">
        <f>'Raw Fs'!M14</f>
        <v>154</v>
      </c>
      <c r="K16" s="48">
        <f>'Raw Fs'!N14</f>
        <v>173</v>
      </c>
    </row>
    <row r="17" spans="1:11" x14ac:dyDescent="0.3">
      <c r="B17" s="41" t="str">
        <f>'Raw Fs'!B15</f>
        <v>Other liability items</v>
      </c>
      <c r="C17" s="41"/>
      <c r="D17" s="41"/>
      <c r="E17" s="41"/>
      <c r="F17" s="48"/>
      <c r="G17" s="48">
        <f>'Raw Fs'!J15</f>
        <v>2613</v>
      </c>
      <c r="H17" s="48">
        <f>'Raw Fs'!K15</f>
        <v>2932</v>
      </c>
      <c r="I17" s="48">
        <f>'Raw Fs'!L15</f>
        <v>3657</v>
      </c>
      <c r="J17" s="48">
        <f>'Raw Fs'!M15</f>
        <v>4017</v>
      </c>
      <c r="K17" s="48">
        <f>'Raw Fs'!N15</f>
        <v>3985</v>
      </c>
    </row>
    <row r="18" spans="1:11" x14ac:dyDescent="0.3">
      <c r="B18" s="40" t="s">
        <v>156</v>
      </c>
      <c r="C18" s="6"/>
      <c r="D18" s="6"/>
      <c r="E18" s="6"/>
      <c r="F18" s="55"/>
      <c r="G18" s="50">
        <f>SUM(G15:G17)</f>
        <v>6033</v>
      </c>
      <c r="H18" s="50">
        <f>SUM(H15:H17)</f>
        <v>7172</v>
      </c>
      <c r="I18" s="50">
        <f>SUM(I15:I17)</f>
        <v>7400</v>
      </c>
      <c r="J18" s="50">
        <f>SUM(J15:J17)</f>
        <v>8002</v>
      </c>
      <c r="K18" s="50">
        <f>SUM(K15:K17)</f>
        <v>8006</v>
      </c>
    </row>
    <row r="19" spans="1:11" x14ac:dyDescent="0.3">
      <c r="F19" s="49"/>
      <c r="G19" s="49"/>
      <c r="H19" s="49"/>
      <c r="I19" s="49"/>
      <c r="J19" s="49"/>
      <c r="K19" s="49"/>
    </row>
    <row r="20" spans="1:11" ht="15" thickBot="1" x14ac:dyDescent="0.35">
      <c r="A20" s="46" t="s">
        <v>5</v>
      </c>
      <c r="B20" s="44" t="s">
        <v>157</v>
      </c>
      <c r="C20" s="45"/>
      <c r="D20" s="45"/>
      <c r="E20" s="45"/>
      <c r="F20" s="54"/>
      <c r="G20" s="51">
        <f>G12-G18</f>
        <v>2934</v>
      </c>
      <c r="H20" s="51">
        <f t="shared" ref="H20:K20" si="1">H12-H18</f>
        <v>5730</v>
      </c>
      <c r="I20" s="51">
        <f t="shared" si="1"/>
        <v>6484</v>
      </c>
      <c r="J20" s="51">
        <f t="shared" si="1"/>
        <v>6382</v>
      </c>
      <c r="K20" s="51">
        <f t="shared" si="1"/>
        <v>6367</v>
      </c>
    </row>
    <row r="21" spans="1:11" ht="15" thickTop="1" x14ac:dyDescent="0.3">
      <c r="F21" s="49"/>
      <c r="G21" s="49"/>
      <c r="H21" s="49"/>
      <c r="I21" s="49"/>
      <c r="J21" s="49"/>
      <c r="K21" s="49"/>
    </row>
    <row r="22" spans="1:11" x14ac:dyDescent="0.3">
      <c r="F22" s="49"/>
      <c r="G22" s="49"/>
      <c r="H22" s="49"/>
      <c r="I22" s="49"/>
      <c r="J22" s="49"/>
      <c r="K22" s="49"/>
    </row>
    <row r="23" spans="1:11" x14ac:dyDescent="0.3">
      <c r="B23" s="1" t="s">
        <v>158</v>
      </c>
      <c r="F23" s="49"/>
      <c r="G23" s="49"/>
      <c r="H23" s="49"/>
      <c r="I23" s="49"/>
      <c r="J23" s="49"/>
      <c r="K23" s="49"/>
    </row>
    <row r="24" spans="1:11" x14ac:dyDescent="0.3">
      <c r="B24" s="42" t="str">
        <f>'Raw Fs'!B19</f>
        <v>Land</v>
      </c>
      <c r="C24" s="42"/>
      <c r="D24" s="42"/>
      <c r="E24" s="42"/>
      <c r="F24" s="48"/>
      <c r="G24" s="48">
        <f>'Raw Fs'!J19</f>
        <v>644</v>
      </c>
      <c r="H24" s="48">
        <f>'Raw Fs'!K19</f>
        <v>644</v>
      </c>
      <c r="I24" s="48">
        <f>'Raw Fs'!L19</f>
        <v>804</v>
      </c>
      <c r="J24" s="48">
        <f>'Raw Fs'!M19</f>
        <v>1126</v>
      </c>
      <c r="K24" s="48">
        <f>'Raw Fs'!N19</f>
        <v>1050</v>
      </c>
    </row>
    <row r="25" spans="1:11" x14ac:dyDescent="0.3">
      <c r="B25" s="42" t="str">
        <f>'Raw Fs'!B20</f>
        <v>Building</v>
      </c>
      <c r="C25" s="42"/>
      <c r="D25" s="42"/>
      <c r="E25" s="42"/>
      <c r="F25" s="48"/>
      <c r="G25" s="48">
        <f>'Raw Fs'!J20</f>
        <v>2249</v>
      </c>
      <c r="H25" s="48">
        <f>'Raw Fs'!K20</f>
        <v>2325</v>
      </c>
      <c r="I25" s="48">
        <f>'Raw Fs'!L20</f>
        <v>2883</v>
      </c>
      <c r="J25" s="48">
        <f>'Raw Fs'!M20</f>
        <v>3390</v>
      </c>
      <c r="K25" s="48">
        <f>'Raw Fs'!N20</f>
        <v>4136</v>
      </c>
    </row>
    <row r="26" spans="1:11" x14ac:dyDescent="0.3">
      <c r="B26" s="42" t="str">
        <f>'Raw Fs'!B21</f>
        <v>Plant Machinery</v>
      </c>
      <c r="C26" s="42"/>
      <c r="D26" s="42"/>
      <c r="E26" s="42"/>
      <c r="F26" s="48"/>
      <c r="G26" s="48">
        <f>'Raw Fs'!J21</f>
        <v>4340</v>
      </c>
      <c r="H26" s="48">
        <f>'Raw Fs'!K21</f>
        <v>4531</v>
      </c>
      <c r="I26" s="48">
        <f>'Raw Fs'!L21</f>
        <v>4825</v>
      </c>
      <c r="J26" s="48">
        <f>'Raw Fs'!M21</f>
        <v>5422</v>
      </c>
      <c r="K26" s="48">
        <f>'Raw Fs'!N21</f>
        <v>7576</v>
      </c>
    </row>
    <row r="27" spans="1:11" x14ac:dyDescent="0.3">
      <c r="B27" s="42" t="str">
        <f>'Raw Fs'!B22</f>
        <v>Equipments</v>
      </c>
      <c r="C27" s="42"/>
      <c r="D27" s="42"/>
      <c r="E27" s="42"/>
      <c r="F27" s="48"/>
      <c r="G27" s="48">
        <f>'Raw Fs'!J22</f>
        <v>243</v>
      </c>
      <c r="H27" s="48">
        <f>'Raw Fs'!K22</f>
        <v>253</v>
      </c>
      <c r="I27" s="48">
        <f>'Raw Fs'!L22</f>
        <v>270</v>
      </c>
      <c r="J27" s="48">
        <f>'Raw Fs'!M22</f>
        <v>298</v>
      </c>
      <c r="K27" s="48">
        <f>'Raw Fs'!N22</f>
        <v>325</v>
      </c>
    </row>
    <row r="28" spans="1:11" x14ac:dyDescent="0.3">
      <c r="B28" s="42" t="str">
        <f>'Raw Fs'!B23</f>
        <v>Furniture n fittings</v>
      </c>
      <c r="C28" s="42"/>
      <c r="D28" s="42"/>
      <c r="E28" s="42"/>
      <c r="F28" s="48"/>
      <c r="G28" s="48">
        <f>'Raw Fs'!J23</f>
        <v>99</v>
      </c>
      <c r="H28" s="48">
        <f>'Raw Fs'!K23</f>
        <v>113</v>
      </c>
      <c r="I28" s="48">
        <f>'Raw Fs'!L23</f>
        <v>146</v>
      </c>
      <c r="J28" s="48">
        <f>'Raw Fs'!M23</f>
        <v>175</v>
      </c>
      <c r="K28" s="48">
        <f>'Raw Fs'!N23</f>
        <v>203</v>
      </c>
    </row>
    <row r="29" spans="1:11" x14ac:dyDescent="0.3">
      <c r="B29" s="42" t="str">
        <f>'Raw Fs'!B24</f>
        <v>Vehicles</v>
      </c>
      <c r="C29" s="42"/>
      <c r="D29" s="42"/>
      <c r="E29" s="42"/>
      <c r="F29" s="48"/>
      <c r="G29" s="48">
        <f>'Raw Fs'!J24</f>
        <v>38</v>
      </c>
      <c r="H29" s="48">
        <f>'Raw Fs'!K24</f>
        <v>32</v>
      </c>
      <c r="I29" s="48">
        <f>'Raw Fs'!L24</f>
        <v>36</v>
      </c>
      <c r="J29" s="48">
        <f>'Raw Fs'!M24</f>
        <v>40</v>
      </c>
      <c r="K29" s="48">
        <f>'Raw Fs'!N24</f>
        <v>39</v>
      </c>
    </row>
    <row r="30" spans="1:11" x14ac:dyDescent="0.3">
      <c r="B30" s="42" t="str">
        <f>'Raw Fs'!B25</f>
        <v>Intangible Assets</v>
      </c>
      <c r="C30" s="42"/>
      <c r="D30" s="42"/>
      <c r="E30" s="42"/>
      <c r="F30" s="48"/>
      <c r="G30" s="48">
        <f>'Raw Fs'!J25</f>
        <v>476</v>
      </c>
      <c r="H30" s="48">
        <f>'Raw Fs'!K25</f>
        <v>345</v>
      </c>
      <c r="I30" s="48">
        <f>'Raw Fs'!L25</f>
        <v>422</v>
      </c>
      <c r="J30" s="48">
        <f>'Raw Fs'!M25</f>
        <v>850</v>
      </c>
      <c r="K30" s="48">
        <f>'Raw Fs'!N25</f>
        <v>827</v>
      </c>
    </row>
    <row r="31" spans="1:11" x14ac:dyDescent="0.3">
      <c r="B31" s="42" t="str">
        <f>'Raw Fs'!B26</f>
        <v>Other fixed assets</v>
      </c>
      <c r="C31" s="42"/>
      <c r="D31" s="42"/>
      <c r="E31" s="42"/>
      <c r="F31" s="48"/>
      <c r="G31" s="48">
        <f>'Raw Fs'!J26</f>
        <v>302</v>
      </c>
      <c r="H31" s="48">
        <f>'Raw Fs'!K26</f>
        <v>294</v>
      </c>
      <c r="I31" s="48">
        <f>'Raw Fs'!L26</f>
        <v>289</v>
      </c>
      <c r="J31" s="48">
        <f>'Raw Fs'!M26</f>
        <v>321</v>
      </c>
      <c r="K31" s="48">
        <f>'Raw Fs'!N26</f>
        <v>328</v>
      </c>
    </row>
    <row r="32" spans="1:11" ht="5.4" customHeight="1" x14ac:dyDescent="0.3">
      <c r="F32" s="49"/>
      <c r="G32" s="49"/>
      <c r="H32" s="49"/>
      <c r="I32" s="49"/>
      <c r="J32" s="49"/>
      <c r="K32" s="49"/>
    </row>
    <row r="33" spans="1:11" x14ac:dyDescent="0.3">
      <c r="B33" s="40" t="s">
        <v>139</v>
      </c>
      <c r="C33" s="6"/>
      <c r="D33" s="6"/>
      <c r="E33" s="6"/>
      <c r="F33" s="55"/>
      <c r="G33" s="52">
        <f>SUM(G24:G32)</f>
        <v>8391</v>
      </c>
      <c r="H33" s="52">
        <f t="shared" ref="H33:K33" si="2">SUM(H24:H32)</f>
        <v>8537</v>
      </c>
      <c r="I33" s="52">
        <f t="shared" si="2"/>
        <v>9675</v>
      </c>
      <c r="J33" s="52">
        <f t="shared" si="2"/>
        <v>11622</v>
      </c>
      <c r="K33" s="52">
        <f t="shared" si="2"/>
        <v>14484</v>
      </c>
    </row>
    <row r="34" spans="1:11" x14ac:dyDescent="0.3">
      <c r="B34" t="str">
        <f>'Raw Fs'!B28</f>
        <v>Accumulated Depreciation</v>
      </c>
      <c r="F34" s="49"/>
      <c r="G34" s="49">
        <f>-'Raw Fs'!J28</f>
        <v>-2533</v>
      </c>
      <c r="H34" s="49">
        <f>-'Raw Fs'!K28</f>
        <v>-3019</v>
      </c>
      <c r="I34" s="49">
        <f>-'Raw Fs'!L28</f>
        <v>-3905</v>
      </c>
      <c r="J34" s="49">
        <f>-'Raw Fs'!M28</f>
        <v>-4475</v>
      </c>
      <c r="K34" s="49">
        <f>-'Raw Fs'!N28</f>
        <v>-5264</v>
      </c>
    </row>
    <row r="35" spans="1:11" ht="15" thickBot="1" x14ac:dyDescent="0.35">
      <c r="A35" t="s">
        <v>5</v>
      </c>
      <c r="B35" s="44" t="s">
        <v>159</v>
      </c>
      <c r="C35" s="45"/>
      <c r="D35" s="45"/>
      <c r="E35" s="45"/>
      <c r="F35" s="54"/>
      <c r="G35" s="51">
        <f>SUM(G33:G34)</f>
        <v>5858</v>
      </c>
      <c r="H35" s="51">
        <f t="shared" ref="H35:K35" si="3">SUM(H33:H34)</f>
        <v>5518</v>
      </c>
      <c r="I35" s="51">
        <f t="shared" si="3"/>
        <v>5770</v>
      </c>
      <c r="J35" s="51">
        <f t="shared" si="3"/>
        <v>7147</v>
      </c>
      <c r="K35" s="51">
        <f t="shared" si="3"/>
        <v>9220</v>
      </c>
    </row>
    <row r="36" spans="1:11" ht="15" thickTop="1" x14ac:dyDescent="0.3">
      <c r="F36" s="49"/>
      <c r="G36" s="49"/>
      <c r="H36" s="49"/>
      <c r="I36" s="49"/>
      <c r="J36" s="49"/>
      <c r="K36" s="49"/>
    </row>
    <row r="37" spans="1:11" x14ac:dyDescent="0.3">
      <c r="A37" t="s">
        <v>5</v>
      </c>
      <c r="B37" s="1" t="s">
        <v>160</v>
      </c>
      <c r="F37" s="49"/>
      <c r="G37" s="53">
        <f>G35+G20</f>
        <v>8792</v>
      </c>
      <c r="H37" s="53">
        <f t="shared" ref="H37:K37" si="4">H35+H20</f>
        <v>11248</v>
      </c>
      <c r="I37" s="53">
        <f t="shared" si="4"/>
        <v>12254</v>
      </c>
      <c r="J37" s="53">
        <f t="shared" si="4"/>
        <v>13529</v>
      </c>
      <c r="K37" s="53">
        <f t="shared" si="4"/>
        <v>15587</v>
      </c>
    </row>
    <row r="38" spans="1:11" x14ac:dyDescent="0.3">
      <c r="B38" s="1" t="s">
        <v>161</v>
      </c>
      <c r="C38" s="1"/>
      <c r="D38" s="1"/>
      <c r="E38" s="1"/>
      <c r="F38" s="53"/>
      <c r="G38" s="53">
        <f>'historical '!H18-'historical '!H24</f>
        <v>4064.3300000000031</v>
      </c>
      <c r="H38" s="53">
        <f>'historical '!I18-'historical '!I24</f>
        <v>3987.2499999999986</v>
      </c>
      <c r="I38" s="53">
        <f>'historical '!J18-'historical '!J24</f>
        <v>5401.8199999999961</v>
      </c>
      <c r="J38" s="53">
        <f>'historical '!K18-'historical '!K24</f>
        <v>6731.9800000000014</v>
      </c>
      <c r="K38" s="53">
        <f>'historical '!L18-'historical '!L24</f>
        <v>4979.8700000000017</v>
      </c>
    </row>
    <row r="39" spans="1:11" ht="2.4" customHeight="1" x14ac:dyDescent="0.3"/>
    <row r="40" spans="1:11" ht="15" thickBot="1" x14ac:dyDescent="0.35">
      <c r="A40" t="s">
        <v>5</v>
      </c>
      <c r="B40" s="44" t="s">
        <v>162</v>
      </c>
      <c r="C40" s="45"/>
      <c r="D40" s="45"/>
      <c r="E40" s="45"/>
      <c r="F40" s="45"/>
      <c r="G40" s="47">
        <f>G38/G37</f>
        <v>0.46227593266606043</v>
      </c>
      <c r="H40" s="47">
        <f t="shared" ref="H40:K40" si="5">H38/H37</f>
        <v>0.35448524182076802</v>
      </c>
      <c r="I40" s="47">
        <f t="shared" si="5"/>
        <v>0.44082095642239238</v>
      </c>
      <c r="J40" s="47">
        <f t="shared" si="5"/>
        <v>0.49759627466922918</v>
      </c>
      <c r="K40" s="47">
        <f t="shared" si="5"/>
        <v>0.31948867646115364</v>
      </c>
    </row>
    <row r="41" spans="1:11" ht="15" thickTop="1" x14ac:dyDescent="0.3"/>
    <row r="43" spans="1:11" x14ac:dyDescent="0.3">
      <c r="A43" t="s">
        <v>5</v>
      </c>
      <c r="B43" s="38" t="s">
        <v>163</v>
      </c>
      <c r="C43" s="38"/>
      <c r="D43" s="38"/>
      <c r="E43" s="38"/>
      <c r="F43" s="38"/>
      <c r="G43" s="31">
        <f>G3</f>
        <v>44256</v>
      </c>
      <c r="H43" s="31">
        <f t="shared" ref="H43:K43" si="6">H3</f>
        <v>44621</v>
      </c>
      <c r="I43" s="31">
        <f t="shared" si="6"/>
        <v>44986</v>
      </c>
      <c r="J43" s="31">
        <f t="shared" si="6"/>
        <v>45352</v>
      </c>
      <c r="K43" s="31">
        <f t="shared" si="6"/>
        <v>45717</v>
      </c>
    </row>
    <row r="45" spans="1:11" x14ac:dyDescent="0.3">
      <c r="B45" s="41" t="s">
        <v>164</v>
      </c>
      <c r="C45" s="41"/>
      <c r="D45" s="41"/>
      <c r="E45" s="41"/>
      <c r="F45" s="41"/>
      <c r="G45" s="48">
        <f>-SUM('Raw Fs'!J53:J54)</f>
        <v>254</v>
      </c>
      <c r="H45" s="48">
        <f>-SUM('Raw Fs'!K53:K54)</f>
        <v>511</v>
      </c>
      <c r="I45" s="48">
        <f>-SUM('Raw Fs'!L53:L54)</f>
        <v>1420</v>
      </c>
      <c r="J45" s="48">
        <f>-SUM('Raw Fs'!M53:M54)</f>
        <v>2491</v>
      </c>
      <c r="K45" s="48">
        <f>-SUM('Raw Fs'!N53:N54)</f>
        <v>1820</v>
      </c>
    </row>
    <row r="46" spans="1:11" x14ac:dyDescent="0.3">
      <c r="B46" s="41" t="s">
        <v>165</v>
      </c>
      <c r="C46" s="41"/>
      <c r="D46" s="41"/>
      <c r="E46" s="41"/>
      <c r="F46" s="41"/>
      <c r="G46" s="48"/>
      <c r="H46" s="48">
        <f>H20-G20</f>
        <v>2796</v>
      </c>
      <c r="I46" s="48">
        <f t="shared" ref="I46:K46" si="7">I20-H20</f>
        <v>754</v>
      </c>
      <c r="J46" s="48">
        <f t="shared" si="7"/>
        <v>-102</v>
      </c>
      <c r="K46" s="48">
        <f t="shared" si="7"/>
        <v>-15</v>
      </c>
    </row>
    <row r="47" spans="1:11" x14ac:dyDescent="0.3">
      <c r="B47" s="41"/>
      <c r="C47" s="41"/>
      <c r="D47" s="41"/>
      <c r="E47" s="41"/>
      <c r="F47" s="41"/>
      <c r="G47" s="48"/>
      <c r="H47" s="48"/>
      <c r="I47" s="48"/>
      <c r="J47" s="48"/>
      <c r="K47" s="48"/>
    </row>
    <row r="48" spans="1:11" x14ac:dyDescent="0.3">
      <c r="B48" s="41" t="s">
        <v>161</v>
      </c>
      <c r="C48" s="41"/>
      <c r="D48" s="41"/>
      <c r="E48" s="41"/>
      <c r="F48" s="41"/>
      <c r="G48" s="48">
        <f>G38</f>
        <v>4064.3300000000031</v>
      </c>
      <c r="H48" s="48">
        <f t="shared" ref="H48:K48" si="8">H38</f>
        <v>3987.2499999999986</v>
      </c>
      <c r="I48" s="48">
        <f t="shared" si="8"/>
        <v>5401.8199999999961</v>
      </c>
      <c r="J48" s="48">
        <f t="shared" si="8"/>
        <v>6731.9800000000014</v>
      </c>
      <c r="K48" s="48">
        <f t="shared" si="8"/>
        <v>4979.8700000000017</v>
      </c>
    </row>
    <row r="49" spans="1:11" x14ac:dyDescent="0.3">
      <c r="B49" s="41" t="s">
        <v>166</v>
      </c>
      <c r="C49" s="41"/>
      <c r="D49" s="41"/>
      <c r="E49" s="41"/>
      <c r="F49" s="41"/>
      <c r="G49" s="56">
        <v>0.25</v>
      </c>
      <c r="H49" s="56">
        <v>0.25</v>
      </c>
      <c r="I49" s="56">
        <v>0.25</v>
      </c>
      <c r="J49" s="56">
        <v>0.25</v>
      </c>
      <c r="K49" s="56">
        <v>0.25</v>
      </c>
    </row>
    <row r="50" spans="1:11" x14ac:dyDescent="0.3">
      <c r="B50" s="41" t="s">
        <v>168</v>
      </c>
      <c r="C50" s="41"/>
      <c r="D50" s="41"/>
      <c r="E50" s="41"/>
      <c r="F50" s="41"/>
      <c r="G50" s="48">
        <f>G48*(1-G49)</f>
        <v>3048.2475000000022</v>
      </c>
      <c r="H50" s="48">
        <f t="shared" ref="H50:K50" si="9">H48*(1-H49)</f>
        <v>2990.4374999999991</v>
      </c>
      <c r="I50" s="48">
        <f t="shared" si="9"/>
        <v>4051.3649999999971</v>
      </c>
      <c r="J50" s="48">
        <f t="shared" si="9"/>
        <v>5048.9850000000006</v>
      </c>
      <c r="K50" s="48">
        <f t="shared" si="9"/>
        <v>3734.9025000000011</v>
      </c>
    </row>
    <row r="51" spans="1:11" x14ac:dyDescent="0.3">
      <c r="B51" s="41"/>
      <c r="C51" s="41"/>
      <c r="D51" s="41"/>
      <c r="E51" s="41"/>
      <c r="F51" s="41"/>
      <c r="G51" s="48"/>
      <c r="H51" s="48"/>
      <c r="I51" s="48"/>
      <c r="J51" s="48"/>
      <c r="K51" s="48"/>
    </row>
    <row r="52" spans="1:11" x14ac:dyDescent="0.3">
      <c r="B52" s="41" t="s">
        <v>167</v>
      </c>
      <c r="C52" s="41"/>
      <c r="D52" s="41"/>
      <c r="E52" s="41"/>
      <c r="F52" s="41"/>
      <c r="G52" s="48"/>
      <c r="H52" s="48">
        <f>SUM(H45:H46)</f>
        <v>3307</v>
      </c>
      <c r="I52" s="48">
        <f t="shared" ref="I52:K52" si="10">SUM(I45:I46)</f>
        <v>2174</v>
      </c>
      <c r="J52" s="48">
        <f t="shared" si="10"/>
        <v>2389</v>
      </c>
      <c r="K52" s="48">
        <f t="shared" si="10"/>
        <v>1805</v>
      </c>
    </row>
    <row r="53" spans="1:11" ht="3" customHeight="1" x14ac:dyDescent="0.3">
      <c r="B53" s="58"/>
      <c r="C53" s="58"/>
      <c r="D53" s="58"/>
      <c r="E53" s="58"/>
      <c r="F53" s="58"/>
      <c r="G53" s="59"/>
      <c r="H53" s="59"/>
      <c r="I53" s="59"/>
      <c r="J53" s="59"/>
      <c r="K53" s="59"/>
    </row>
    <row r="54" spans="1:11" ht="15" thickBot="1" x14ac:dyDescent="0.35">
      <c r="B54" s="44" t="s">
        <v>169</v>
      </c>
      <c r="C54" s="44"/>
      <c r="D54" s="44"/>
      <c r="E54" s="44"/>
      <c r="F54" s="44"/>
      <c r="G54" s="44"/>
      <c r="H54" s="60">
        <f>H52/H50</f>
        <v>1.1058582565260102</v>
      </c>
      <c r="I54" s="60">
        <f>I52/I50</f>
        <v>0.53660926625964378</v>
      </c>
      <c r="J54" s="60">
        <f>J52/J50</f>
        <v>0.4731644082919636</v>
      </c>
      <c r="K54" s="60">
        <f>K52/K50</f>
        <v>0.48327901464629919</v>
      </c>
    </row>
    <row r="55" spans="1:11" ht="15" thickTop="1" x14ac:dyDescent="0.3">
      <c r="H55" s="2"/>
      <c r="I55" s="2"/>
      <c r="J55" s="2"/>
      <c r="K55" s="2"/>
    </row>
    <row r="56" spans="1:11" ht="15" thickTop="1" x14ac:dyDescent="0.3">
      <c r="J56" s="61" t="s">
        <v>170</v>
      </c>
      <c r="K56" s="62">
        <f>AVERAGE(H54:K54)</f>
        <v>0.64972773643097925</v>
      </c>
    </row>
    <row r="57" spans="1:11" x14ac:dyDescent="0.3">
      <c r="J57" s="63" t="s">
        <v>171</v>
      </c>
      <c r="K57" s="64">
        <f>MEDIAN(H54:K54)</f>
        <v>0.50994414045297143</v>
      </c>
    </row>
    <row r="59" spans="1:11" x14ac:dyDescent="0.3">
      <c r="A59" t="s">
        <v>5</v>
      </c>
      <c r="B59" s="38" t="s">
        <v>173</v>
      </c>
      <c r="C59" s="38"/>
      <c r="D59" s="38"/>
      <c r="E59" s="38"/>
      <c r="F59" s="38"/>
      <c r="G59" s="31">
        <f>'Raw Fs'!J$2</f>
        <v>44256</v>
      </c>
      <c r="H59" s="31">
        <f>'Raw Fs'!K$2</f>
        <v>44621</v>
      </c>
      <c r="I59" s="31">
        <f>'Raw Fs'!L$2</f>
        <v>44986</v>
      </c>
      <c r="J59" s="31">
        <f>'Raw Fs'!M$2</f>
        <v>45352</v>
      </c>
      <c r="K59" s="31">
        <f>'Raw Fs'!N$2</f>
        <v>45717</v>
      </c>
    </row>
    <row r="61" spans="1:11" x14ac:dyDescent="0.3">
      <c r="B61" s="41" t="s">
        <v>169</v>
      </c>
      <c r="C61" s="41"/>
      <c r="D61" s="41"/>
      <c r="E61" s="41"/>
      <c r="F61" s="41"/>
      <c r="G61" s="41"/>
      <c r="H61" s="57">
        <f>H54</f>
        <v>1.1058582565260102</v>
      </c>
      <c r="I61" s="57">
        <f t="shared" ref="I61:K61" si="11">I54</f>
        <v>0.53660926625964378</v>
      </c>
      <c r="J61" s="57">
        <f t="shared" si="11"/>
        <v>0.4731644082919636</v>
      </c>
      <c r="K61" s="57">
        <f t="shared" si="11"/>
        <v>0.48327901464629919</v>
      </c>
    </row>
    <row r="62" spans="1:11" x14ac:dyDescent="0.3">
      <c r="B62" s="41" t="s">
        <v>162</v>
      </c>
      <c r="C62" s="41"/>
      <c r="D62" s="41"/>
      <c r="E62" s="41"/>
      <c r="F62" s="41"/>
      <c r="G62" s="57"/>
      <c r="H62" s="57">
        <f t="shared" ref="H62:K62" si="12">H40</f>
        <v>0.35448524182076802</v>
      </c>
      <c r="I62" s="57">
        <f t="shared" si="12"/>
        <v>0.44082095642239238</v>
      </c>
      <c r="J62" s="57">
        <f t="shared" si="12"/>
        <v>0.49759627466922918</v>
      </c>
      <c r="K62" s="57">
        <f t="shared" si="12"/>
        <v>0.31948867646115364</v>
      </c>
    </row>
    <row r="63" spans="1:11" ht="3.6" customHeight="1" x14ac:dyDescent="0.3">
      <c r="B63" s="58"/>
      <c r="C63" s="58"/>
      <c r="D63" s="58"/>
      <c r="E63" s="58"/>
      <c r="F63" s="58"/>
      <c r="G63" s="58"/>
      <c r="H63" s="58"/>
      <c r="I63" s="58"/>
      <c r="J63" s="58"/>
      <c r="K63" s="58"/>
    </row>
    <row r="64" spans="1:11" ht="15" thickBot="1" x14ac:dyDescent="0.35">
      <c r="B64" s="44" t="s">
        <v>172</v>
      </c>
      <c r="C64" s="44"/>
      <c r="D64" s="44"/>
      <c r="E64" s="44"/>
      <c r="F64" s="44"/>
      <c r="G64" s="44"/>
      <c r="H64" s="65">
        <f>H61*H62</f>
        <v>0.39201043148411563</v>
      </c>
      <c r="I64" s="65">
        <f>I61*I62</f>
        <v>0.23654860997769439</v>
      </c>
      <c r="J64" s="65">
        <f>J61*J62</f>
        <v>0.23544484687215123</v>
      </c>
      <c r="K64" s="65">
        <f>K61*K62</f>
        <v>0.15440217275079662</v>
      </c>
    </row>
    <row r="65" spans="10:11" ht="15" thickTop="1" x14ac:dyDescent="0.3"/>
    <row r="66" spans="10:11" x14ac:dyDescent="0.3">
      <c r="J66" s="61" t="s">
        <v>170</v>
      </c>
      <c r="K66" s="62">
        <f>AVERAGE(H64:K64)</f>
        <v>0.25460151527118952</v>
      </c>
    </row>
    <row r="67" spans="10:11" x14ac:dyDescent="0.3">
      <c r="J67" s="63" t="s">
        <v>171</v>
      </c>
      <c r="K67" s="64">
        <f>MEDIAN(H64:K64)</f>
        <v>0.23599672842492281</v>
      </c>
    </row>
  </sheetData>
  <pageMargins left="0.7" right="0.7" top="0.75" bottom="0.75" header="0.3" footer="0.3"/>
  <ignoredErrors>
    <ignoredError sqref="G45:K4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CF9D-F923-4F57-BAE4-225B38D07E52}">
  <sheetPr>
    <tabColor rgb="FF7030A0"/>
  </sheetPr>
  <dimension ref="A1"/>
  <sheetViews>
    <sheetView workbookViewId="0">
      <selection activeCell="L20" sqref="L20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149F-9DCA-469D-8EAA-7942AA5DD2FB}">
  <sheetPr>
    <tabColor rgb="FF92D050"/>
  </sheetPr>
  <dimension ref="B2:O71"/>
  <sheetViews>
    <sheetView showGridLines="0" workbookViewId="0">
      <selection activeCell="K74" sqref="K74"/>
    </sheetView>
  </sheetViews>
  <sheetFormatPr defaultRowHeight="14.4" x14ac:dyDescent="0.3"/>
  <cols>
    <col min="1" max="1" width="1.88671875" customWidth="1"/>
    <col min="2" max="2" width="26.33203125" customWidth="1"/>
    <col min="3" max="4" width="9" bestFit="1" customWidth="1"/>
    <col min="5" max="14" width="9.109375" bestFit="1" customWidth="1"/>
  </cols>
  <sheetData>
    <row r="2" spans="2:14" x14ac:dyDescent="0.3">
      <c r="B2" s="31" t="s">
        <v>151</v>
      </c>
      <c r="C2" s="31">
        <v>41699</v>
      </c>
      <c r="D2" s="31">
        <v>42064</v>
      </c>
      <c r="E2" s="31">
        <v>42430</v>
      </c>
      <c r="F2" s="31">
        <v>42795</v>
      </c>
      <c r="G2" s="31">
        <v>43160</v>
      </c>
      <c r="H2" s="31">
        <v>43525</v>
      </c>
      <c r="I2" s="31">
        <v>43891</v>
      </c>
      <c r="J2" s="31">
        <v>44256</v>
      </c>
      <c r="K2" s="31">
        <v>44621</v>
      </c>
      <c r="L2" s="31">
        <v>44986</v>
      </c>
      <c r="M2" s="31">
        <v>45352</v>
      </c>
      <c r="N2" s="31">
        <v>45717</v>
      </c>
    </row>
    <row r="3" spans="2:14" x14ac:dyDescent="0.3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2:14" x14ac:dyDescent="0.3">
      <c r="B4" s="1" t="s">
        <v>119</v>
      </c>
      <c r="C4" s="34">
        <v>96</v>
      </c>
      <c r="D4" s="34">
        <v>96</v>
      </c>
      <c r="E4" s="34">
        <v>96</v>
      </c>
      <c r="F4" s="34">
        <v>96</v>
      </c>
      <c r="G4" s="34">
        <v>96</v>
      </c>
      <c r="H4" s="34">
        <v>96</v>
      </c>
      <c r="I4" s="34">
        <v>96</v>
      </c>
      <c r="J4" s="34">
        <v>96</v>
      </c>
      <c r="K4" s="34">
        <v>96</v>
      </c>
      <c r="L4" s="34">
        <v>96</v>
      </c>
      <c r="M4" s="34">
        <v>96</v>
      </c>
      <c r="N4" s="34">
        <v>96</v>
      </c>
    </row>
    <row r="5" spans="2:14" x14ac:dyDescent="0.3">
      <c r="B5" s="1" t="s">
        <v>39</v>
      </c>
      <c r="C5" s="34">
        <v>3943</v>
      </c>
      <c r="D5" s="34">
        <v>4646</v>
      </c>
      <c r="E5" s="34">
        <v>6429</v>
      </c>
      <c r="F5" s="34">
        <v>7508</v>
      </c>
      <c r="G5" s="34">
        <v>8314</v>
      </c>
      <c r="H5" s="34">
        <v>9375</v>
      </c>
      <c r="I5" s="34">
        <v>10034</v>
      </c>
      <c r="J5" s="34">
        <v>12710</v>
      </c>
      <c r="K5" s="34">
        <v>13716</v>
      </c>
      <c r="L5" s="34">
        <v>15896</v>
      </c>
      <c r="M5" s="34">
        <v>18632</v>
      </c>
      <c r="N5" s="34">
        <v>19304</v>
      </c>
    </row>
    <row r="6" spans="2:14" x14ac:dyDescent="0.3">
      <c r="B6" s="1" t="s">
        <v>120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2:14" x14ac:dyDescent="0.3">
      <c r="B7" t="s">
        <v>121</v>
      </c>
      <c r="C7" s="34">
        <v>41</v>
      </c>
      <c r="D7" s="34">
        <v>78</v>
      </c>
      <c r="E7" s="34">
        <v>73</v>
      </c>
      <c r="F7" s="34">
        <v>41</v>
      </c>
      <c r="G7" s="34">
        <v>28</v>
      </c>
      <c r="H7" s="34">
        <v>19</v>
      </c>
      <c r="I7" s="34">
        <v>19</v>
      </c>
      <c r="J7" s="34">
        <v>15</v>
      </c>
      <c r="K7" s="34">
        <v>45</v>
      </c>
      <c r="L7" s="34">
        <v>76</v>
      </c>
      <c r="M7" s="34">
        <v>54</v>
      </c>
      <c r="N7" s="34">
        <v>260</v>
      </c>
    </row>
    <row r="8" spans="2:14" x14ac:dyDescent="0.3">
      <c r="B8" t="s">
        <v>122</v>
      </c>
      <c r="C8" s="34">
        <v>199</v>
      </c>
      <c r="D8" s="34">
        <v>332</v>
      </c>
      <c r="E8" s="34">
        <v>231</v>
      </c>
      <c r="F8" s="34">
        <v>504</v>
      </c>
      <c r="G8" s="34">
        <v>492</v>
      </c>
      <c r="H8" s="34">
        <v>597</v>
      </c>
      <c r="I8" s="34">
        <v>321</v>
      </c>
      <c r="J8" s="34">
        <v>334</v>
      </c>
      <c r="K8" s="34">
        <v>731</v>
      </c>
      <c r="L8" s="34">
        <v>896</v>
      </c>
      <c r="M8" s="34">
        <v>1053</v>
      </c>
      <c r="N8" s="34">
        <v>604</v>
      </c>
    </row>
    <row r="9" spans="2:14" x14ac:dyDescent="0.3">
      <c r="B9" t="s">
        <v>123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693</v>
      </c>
      <c r="I9" s="34">
        <v>764</v>
      </c>
      <c r="J9" s="34">
        <v>745</v>
      </c>
      <c r="K9" s="34">
        <v>811</v>
      </c>
      <c r="L9" s="34">
        <v>960</v>
      </c>
      <c r="M9" s="34">
        <v>1367</v>
      </c>
      <c r="N9" s="34">
        <v>1427</v>
      </c>
    </row>
    <row r="10" spans="2:14" x14ac:dyDescent="0.3">
      <c r="B10" t="s">
        <v>124</v>
      </c>
      <c r="C10" s="34">
        <v>9</v>
      </c>
      <c r="D10" s="34">
        <v>8</v>
      </c>
      <c r="E10" s="34">
        <v>20</v>
      </c>
      <c r="F10" s="34">
        <v>15</v>
      </c>
      <c r="G10" s="34">
        <v>13</v>
      </c>
      <c r="H10" s="34">
        <v>11</v>
      </c>
      <c r="I10" s="34">
        <v>15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</row>
    <row r="11" spans="2:14" x14ac:dyDescent="0.3">
      <c r="B11" s="1" t="s">
        <v>125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2:14" x14ac:dyDescent="0.3">
      <c r="B12" t="s">
        <v>126</v>
      </c>
      <c r="C12" s="34">
        <v>246</v>
      </c>
      <c r="D12" s="34">
        <v>264</v>
      </c>
      <c r="E12" s="34">
        <v>384</v>
      </c>
      <c r="F12" s="34">
        <v>375</v>
      </c>
      <c r="G12" s="34">
        <v>328</v>
      </c>
      <c r="H12" s="34">
        <v>361</v>
      </c>
      <c r="I12" s="34">
        <v>404</v>
      </c>
      <c r="J12" s="34">
        <v>423</v>
      </c>
      <c r="K12" s="34">
        <v>388</v>
      </c>
      <c r="L12" s="34">
        <v>454</v>
      </c>
      <c r="M12" s="34">
        <v>695</v>
      </c>
      <c r="N12" s="34">
        <v>659</v>
      </c>
    </row>
    <row r="13" spans="2:14" x14ac:dyDescent="0.3">
      <c r="B13" t="s">
        <v>127</v>
      </c>
      <c r="C13" s="34">
        <v>1746</v>
      </c>
      <c r="D13" s="34">
        <v>1549</v>
      </c>
      <c r="E13" s="34">
        <v>1565</v>
      </c>
      <c r="F13" s="34">
        <v>1923</v>
      </c>
      <c r="G13" s="34">
        <v>2160</v>
      </c>
      <c r="H13" s="34">
        <v>2394</v>
      </c>
      <c r="I13" s="34">
        <v>2137</v>
      </c>
      <c r="J13" s="34">
        <v>3379</v>
      </c>
      <c r="K13" s="34">
        <v>4164</v>
      </c>
      <c r="L13" s="34">
        <v>3635</v>
      </c>
      <c r="M13" s="34">
        <v>3831</v>
      </c>
      <c r="N13" s="34">
        <v>3848</v>
      </c>
    </row>
    <row r="14" spans="2:14" x14ac:dyDescent="0.3">
      <c r="B14" t="s">
        <v>128</v>
      </c>
      <c r="C14" s="34">
        <v>0</v>
      </c>
      <c r="D14" s="34">
        <v>5</v>
      </c>
      <c r="E14" s="34">
        <v>12</v>
      </c>
      <c r="F14" s="34">
        <v>17</v>
      </c>
      <c r="G14" s="34">
        <v>16</v>
      </c>
      <c r="H14" s="34">
        <v>13</v>
      </c>
      <c r="I14" s="34">
        <v>29</v>
      </c>
      <c r="J14" s="34">
        <v>41</v>
      </c>
      <c r="K14" s="34">
        <v>76</v>
      </c>
      <c r="L14" s="34">
        <v>108</v>
      </c>
      <c r="M14" s="34">
        <v>154</v>
      </c>
      <c r="N14" s="34">
        <v>173</v>
      </c>
    </row>
    <row r="15" spans="2:14" x14ac:dyDescent="0.3">
      <c r="B15" t="s">
        <v>129</v>
      </c>
      <c r="C15" s="34">
        <v>1795</v>
      </c>
      <c r="D15" s="34">
        <v>1937</v>
      </c>
      <c r="E15" s="34">
        <v>1750</v>
      </c>
      <c r="F15" s="34">
        <v>1925</v>
      </c>
      <c r="G15" s="34">
        <v>2316</v>
      </c>
      <c r="H15" s="34">
        <v>2690</v>
      </c>
      <c r="I15" s="34">
        <v>2320</v>
      </c>
      <c r="J15" s="34">
        <v>2613</v>
      </c>
      <c r="K15" s="34">
        <v>2932</v>
      </c>
      <c r="L15" s="34">
        <v>3657</v>
      </c>
      <c r="M15" s="34">
        <v>4017</v>
      </c>
      <c r="N15" s="34">
        <v>3985</v>
      </c>
    </row>
    <row r="16" spans="2:14" ht="15" thickBot="1" x14ac:dyDescent="0.35">
      <c r="B16" s="33" t="s">
        <v>84</v>
      </c>
      <c r="C16" s="35">
        <v>8075</v>
      </c>
      <c r="D16" s="35">
        <v>8914</v>
      </c>
      <c r="E16" s="35">
        <v>10559</v>
      </c>
      <c r="F16" s="35">
        <v>12405</v>
      </c>
      <c r="G16" s="35">
        <v>13763</v>
      </c>
      <c r="H16" s="35">
        <v>16249</v>
      </c>
      <c r="I16" s="35">
        <v>16138</v>
      </c>
      <c r="J16" s="35">
        <v>20355</v>
      </c>
      <c r="K16" s="35">
        <v>22958</v>
      </c>
      <c r="L16" s="35">
        <v>25779</v>
      </c>
      <c r="M16" s="35">
        <v>29901</v>
      </c>
      <c r="N16" s="35">
        <v>30355</v>
      </c>
    </row>
    <row r="17" spans="2:15" ht="15" thickTop="1" x14ac:dyDescent="0.3"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2:15" x14ac:dyDescent="0.3">
      <c r="B18" s="1" t="s">
        <v>130</v>
      </c>
      <c r="C18" s="29"/>
      <c r="D18" s="29"/>
      <c r="E18" s="29"/>
      <c r="F18" s="29"/>
      <c r="H18" s="29"/>
      <c r="I18" s="29"/>
      <c r="J18" s="29"/>
      <c r="K18" s="29"/>
      <c r="L18" s="29"/>
      <c r="M18" s="29"/>
      <c r="N18" s="29"/>
      <c r="O18" s="29"/>
    </row>
    <row r="19" spans="2:15" x14ac:dyDescent="0.3">
      <c r="B19" t="s">
        <v>131</v>
      </c>
      <c r="C19" s="34">
        <v>247</v>
      </c>
      <c r="D19" s="34">
        <v>251</v>
      </c>
      <c r="E19" s="34">
        <v>429</v>
      </c>
      <c r="F19" s="34">
        <v>408</v>
      </c>
      <c r="G19" s="34">
        <v>586</v>
      </c>
      <c r="H19" s="34">
        <v>605</v>
      </c>
      <c r="I19" s="34">
        <v>640</v>
      </c>
      <c r="J19" s="34">
        <v>644</v>
      </c>
      <c r="K19" s="34">
        <v>644</v>
      </c>
      <c r="L19" s="34">
        <v>804</v>
      </c>
      <c r="M19" s="34">
        <v>1126</v>
      </c>
      <c r="N19" s="34">
        <v>1050</v>
      </c>
    </row>
    <row r="20" spans="2:15" x14ac:dyDescent="0.3">
      <c r="B20" t="s">
        <v>132</v>
      </c>
      <c r="C20" s="34">
        <v>931</v>
      </c>
      <c r="D20" s="34">
        <v>962</v>
      </c>
      <c r="E20" s="34">
        <v>923</v>
      </c>
      <c r="F20" s="34">
        <v>931</v>
      </c>
      <c r="G20" s="34">
        <v>957</v>
      </c>
      <c r="H20" s="34">
        <v>2402</v>
      </c>
      <c r="I20" s="34">
        <v>2257</v>
      </c>
      <c r="J20" s="34">
        <v>2249</v>
      </c>
      <c r="K20" s="34">
        <v>2325</v>
      </c>
      <c r="L20" s="34">
        <v>2883</v>
      </c>
      <c r="M20" s="34">
        <v>3390</v>
      </c>
      <c r="N20" s="34">
        <v>4136</v>
      </c>
    </row>
    <row r="21" spans="2:15" x14ac:dyDescent="0.3">
      <c r="B21" t="s">
        <v>133</v>
      </c>
      <c r="C21" s="34">
        <v>2054</v>
      </c>
      <c r="D21" s="34">
        <v>2132</v>
      </c>
      <c r="E21" s="34">
        <v>1793</v>
      </c>
      <c r="F21" s="34">
        <v>1980</v>
      </c>
      <c r="G21" s="34">
        <v>2157</v>
      </c>
      <c r="H21" s="34">
        <v>4006</v>
      </c>
      <c r="I21" s="34">
        <v>4208</v>
      </c>
      <c r="J21" s="34">
        <v>4340</v>
      </c>
      <c r="K21" s="34">
        <v>4531</v>
      </c>
      <c r="L21" s="34">
        <v>4825</v>
      </c>
      <c r="M21" s="34">
        <v>5422</v>
      </c>
      <c r="N21" s="34">
        <v>7576</v>
      </c>
    </row>
    <row r="22" spans="2:15" x14ac:dyDescent="0.3">
      <c r="B22" t="s">
        <v>134</v>
      </c>
      <c r="C22" s="34">
        <v>155</v>
      </c>
      <c r="D22" s="34">
        <v>171</v>
      </c>
      <c r="E22" s="34">
        <v>97</v>
      </c>
      <c r="F22" s="34">
        <v>119</v>
      </c>
      <c r="G22" s="34">
        <v>200</v>
      </c>
      <c r="H22" s="34">
        <v>221</v>
      </c>
      <c r="I22" s="34">
        <v>241</v>
      </c>
      <c r="J22" s="34">
        <v>243</v>
      </c>
      <c r="K22" s="34">
        <v>253</v>
      </c>
      <c r="L22" s="34">
        <v>270</v>
      </c>
      <c r="M22" s="34">
        <v>298</v>
      </c>
      <c r="N22" s="34">
        <v>325</v>
      </c>
    </row>
    <row r="23" spans="2:15" x14ac:dyDescent="0.3">
      <c r="B23" t="s">
        <v>135</v>
      </c>
      <c r="C23" s="34">
        <v>71</v>
      </c>
      <c r="D23" s="34">
        <v>83</v>
      </c>
      <c r="E23" s="34">
        <v>49</v>
      </c>
      <c r="F23" s="34">
        <v>59</v>
      </c>
      <c r="G23" s="34">
        <v>72</v>
      </c>
      <c r="H23" s="34">
        <v>88</v>
      </c>
      <c r="I23" s="34">
        <v>94</v>
      </c>
      <c r="J23" s="34">
        <v>99</v>
      </c>
      <c r="K23" s="34">
        <v>113</v>
      </c>
      <c r="L23" s="34">
        <v>146</v>
      </c>
      <c r="M23" s="34">
        <v>175</v>
      </c>
      <c r="N23" s="34">
        <v>203</v>
      </c>
    </row>
    <row r="24" spans="2:15" x14ac:dyDescent="0.3">
      <c r="B24" t="s">
        <v>136</v>
      </c>
      <c r="C24" s="34">
        <v>14</v>
      </c>
      <c r="D24" s="34">
        <v>18</v>
      </c>
      <c r="E24" s="34">
        <v>11</v>
      </c>
      <c r="F24" s="34">
        <v>14</v>
      </c>
      <c r="G24" s="34">
        <v>27</v>
      </c>
      <c r="H24" s="34">
        <v>47</v>
      </c>
      <c r="I24" s="34">
        <v>43</v>
      </c>
      <c r="J24" s="34">
        <v>38</v>
      </c>
      <c r="K24" s="34">
        <v>32</v>
      </c>
      <c r="L24" s="34">
        <v>36</v>
      </c>
      <c r="M24" s="34">
        <v>40</v>
      </c>
      <c r="N24" s="34">
        <v>39</v>
      </c>
    </row>
    <row r="25" spans="2:15" x14ac:dyDescent="0.3">
      <c r="B25" t="s">
        <v>137</v>
      </c>
      <c r="C25" s="34">
        <v>203</v>
      </c>
      <c r="D25" s="34">
        <v>351</v>
      </c>
      <c r="E25" s="34">
        <v>339</v>
      </c>
      <c r="F25" s="34">
        <v>276</v>
      </c>
      <c r="G25" s="34">
        <v>468</v>
      </c>
      <c r="H25" s="34">
        <v>512</v>
      </c>
      <c r="I25" s="34">
        <v>505</v>
      </c>
      <c r="J25" s="34">
        <v>476</v>
      </c>
      <c r="K25" s="34">
        <v>345</v>
      </c>
      <c r="L25" s="34">
        <v>422</v>
      </c>
      <c r="M25" s="34">
        <v>850</v>
      </c>
      <c r="N25" s="34">
        <v>827</v>
      </c>
    </row>
    <row r="26" spans="2:15" x14ac:dyDescent="0.3">
      <c r="B26" t="s">
        <v>138</v>
      </c>
      <c r="C26" s="34">
        <v>128</v>
      </c>
      <c r="D26" s="34">
        <v>145</v>
      </c>
      <c r="E26" s="34">
        <v>103</v>
      </c>
      <c r="F26" s="34">
        <v>128</v>
      </c>
      <c r="G26" s="34">
        <v>238</v>
      </c>
      <c r="H26" s="34">
        <v>261</v>
      </c>
      <c r="I26" s="34">
        <v>293</v>
      </c>
      <c r="J26" s="34">
        <v>302</v>
      </c>
      <c r="K26" s="34">
        <v>294</v>
      </c>
      <c r="L26" s="34">
        <v>289</v>
      </c>
      <c r="M26" s="34">
        <v>321</v>
      </c>
      <c r="N26" s="34">
        <v>328</v>
      </c>
    </row>
    <row r="27" spans="2:15" x14ac:dyDescent="0.3">
      <c r="B27" s="1" t="s">
        <v>139</v>
      </c>
      <c r="C27" s="34">
        <v>3804</v>
      </c>
      <c r="D27" s="34">
        <v>4112</v>
      </c>
      <c r="E27" s="34">
        <v>3744</v>
      </c>
      <c r="F27" s="34">
        <v>3914</v>
      </c>
      <c r="G27" s="34">
        <v>4705</v>
      </c>
      <c r="H27" s="34">
        <v>8141</v>
      </c>
      <c r="I27" s="34">
        <v>8282</v>
      </c>
      <c r="J27" s="34">
        <v>8392</v>
      </c>
      <c r="K27" s="34">
        <v>8538</v>
      </c>
      <c r="L27" s="34">
        <v>9676</v>
      </c>
      <c r="M27" s="34">
        <v>11622</v>
      </c>
      <c r="N27" s="34">
        <v>14484</v>
      </c>
    </row>
    <row r="28" spans="2:15" x14ac:dyDescent="0.3">
      <c r="B28" s="1" t="s">
        <v>140</v>
      </c>
      <c r="C28" s="34">
        <v>1242</v>
      </c>
      <c r="D28" s="34">
        <v>1452</v>
      </c>
      <c r="E28" s="34">
        <v>327</v>
      </c>
      <c r="F28" s="34">
        <v>610</v>
      </c>
      <c r="G28" s="34">
        <v>973</v>
      </c>
      <c r="H28" s="34">
        <v>1644</v>
      </c>
      <c r="I28" s="34">
        <v>2010</v>
      </c>
      <c r="J28" s="34">
        <v>2533</v>
      </c>
      <c r="K28" s="34">
        <v>3019</v>
      </c>
      <c r="L28" s="34">
        <v>3905</v>
      </c>
      <c r="M28" s="34">
        <v>4475</v>
      </c>
      <c r="N28" s="34">
        <v>5264</v>
      </c>
    </row>
    <row r="29" spans="2:15" x14ac:dyDescent="0.3">
      <c r="B29" s="1" t="s">
        <v>141</v>
      </c>
      <c r="C29" s="34">
        <v>72</v>
      </c>
      <c r="D29" s="34">
        <v>196</v>
      </c>
      <c r="E29" s="34">
        <v>107</v>
      </c>
      <c r="F29" s="34">
        <v>258</v>
      </c>
      <c r="G29" s="34">
        <v>1405</v>
      </c>
      <c r="H29" s="34">
        <v>210</v>
      </c>
      <c r="I29" s="34">
        <v>140</v>
      </c>
      <c r="J29" s="34">
        <v>183</v>
      </c>
      <c r="K29" s="34">
        <v>426</v>
      </c>
      <c r="L29" s="34">
        <v>1020</v>
      </c>
      <c r="M29" s="34">
        <v>2698</v>
      </c>
      <c r="N29" s="34">
        <v>1254</v>
      </c>
    </row>
    <row r="30" spans="2:15" x14ac:dyDescent="0.3">
      <c r="B30" s="1" t="s">
        <v>44</v>
      </c>
      <c r="C30" s="34">
        <v>1424</v>
      </c>
      <c r="D30" s="34">
        <v>1588</v>
      </c>
      <c r="E30" s="34">
        <v>2712</v>
      </c>
      <c r="F30" s="34">
        <v>2652</v>
      </c>
      <c r="G30" s="34">
        <v>2141</v>
      </c>
      <c r="H30" s="34">
        <v>2569</v>
      </c>
      <c r="I30" s="34">
        <v>2019</v>
      </c>
      <c r="J30" s="34">
        <v>4737</v>
      </c>
      <c r="K30" s="34">
        <v>3248</v>
      </c>
      <c r="L30" s="34">
        <v>4262</v>
      </c>
      <c r="M30" s="34">
        <v>4588</v>
      </c>
      <c r="N30" s="34">
        <v>4725</v>
      </c>
    </row>
    <row r="31" spans="2:15" x14ac:dyDescent="0.3">
      <c r="B31" s="1" t="s">
        <v>142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2:15" x14ac:dyDescent="0.3">
      <c r="B32" t="s">
        <v>143</v>
      </c>
      <c r="C32" s="34">
        <v>2070</v>
      </c>
      <c r="D32" s="34">
        <v>2259</v>
      </c>
      <c r="E32" s="34">
        <v>1998</v>
      </c>
      <c r="F32" s="34">
        <v>2627</v>
      </c>
      <c r="G32" s="34">
        <v>2658</v>
      </c>
      <c r="H32" s="34">
        <v>3150</v>
      </c>
      <c r="I32" s="34">
        <v>3390</v>
      </c>
      <c r="J32" s="34">
        <v>3799</v>
      </c>
      <c r="K32" s="34">
        <v>6153</v>
      </c>
      <c r="L32" s="34">
        <v>6211</v>
      </c>
      <c r="M32" s="34">
        <v>5923</v>
      </c>
      <c r="N32" s="34">
        <v>6719</v>
      </c>
    </row>
    <row r="33" spans="2:14" x14ac:dyDescent="0.3">
      <c r="B33" s="1" t="s">
        <v>144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</row>
    <row r="34" spans="2:14" x14ac:dyDescent="0.3">
      <c r="B34" t="s">
        <v>145</v>
      </c>
      <c r="C34" s="34">
        <v>51</v>
      </c>
      <c r="D34" s="34">
        <v>61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279</v>
      </c>
      <c r="L34" s="34">
        <v>366</v>
      </c>
      <c r="M34" s="34">
        <v>588</v>
      </c>
      <c r="N34" s="34">
        <v>726</v>
      </c>
    </row>
    <row r="35" spans="2:14" x14ac:dyDescent="0.3">
      <c r="B35" t="s">
        <v>146</v>
      </c>
      <c r="C35" s="34">
        <v>1110</v>
      </c>
      <c r="D35" s="34">
        <v>1180</v>
      </c>
      <c r="E35" s="34">
        <v>1253</v>
      </c>
      <c r="F35" s="34">
        <v>1526</v>
      </c>
      <c r="G35" s="34">
        <v>1820</v>
      </c>
      <c r="H35" s="34">
        <v>2028</v>
      </c>
      <c r="I35" s="34">
        <v>1950</v>
      </c>
      <c r="J35" s="34">
        <v>2787</v>
      </c>
      <c r="K35" s="34">
        <v>3834</v>
      </c>
      <c r="L35" s="34">
        <v>4576</v>
      </c>
      <c r="M35" s="34">
        <v>4723</v>
      </c>
      <c r="N35" s="34">
        <v>4250</v>
      </c>
    </row>
    <row r="36" spans="2:14" x14ac:dyDescent="0.3">
      <c r="B36" t="s">
        <v>147</v>
      </c>
      <c r="C36" s="34">
        <v>-50</v>
      </c>
      <c r="D36" s="34">
        <v>-59</v>
      </c>
      <c r="E36" s="34">
        <v>-67</v>
      </c>
      <c r="F36" s="34">
        <v>-79</v>
      </c>
      <c r="G36" s="34">
        <v>-89</v>
      </c>
      <c r="H36" s="34">
        <v>-121</v>
      </c>
      <c r="I36" s="34">
        <v>-155</v>
      </c>
      <c r="J36" s="34">
        <v>-185</v>
      </c>
      <c r="K36" s="34">
        <v>-241</v>
      </c>
      <c r="L36" s="34">
        <v>-305</v>
      </c>
      <c r="M36" s="34">
        <v>-422</v>
      </c>
      <c r="N36" s="34">
        <v>-663</v>
      </c>
    </row>
    <row r="37" spans="2:14" x14ac:dyDescent="0.3">
      <c r="B37" t="s">
        <v>148</v>
      </c>
      <c r="C37" s="34">
        <v>229</v>
      </c>
      <c r="D37" s="34">
        <v>204</v>
      </c>
      <c r="E37" s="34">
        <v>424</v>
      </c>
      <c r="F37" s="34">
        <v>801</v>
      </c>
      <c r="G37" s="34">
        <v>405</v>
      </c>
      <c r="H37" s="34">
        <v>445</v>
      </c>
      <c r="I37" s="34">
        <v>783</v>
      </c>
      <c r="J37" s="34">
        <v>611</v>
      </c>
      <c r="K37" s="34">
        <v>864</v>
      </c>
      <c r="L37" s="34">
        <v>844</v>
      </c>
      <c r="M37" s="34">
        <v>1084</v>
      </c>
      <c r="N37" s="34">
        <v>782</v>
      </c>
    </row>
    <row r="38" spans="2:14" x14ac:dyDescent="0.3">
      <c r="B38" t="s">
        <v>149</v>
      </c>
      <c r="C38" s="34">
        <v>7</v>
      </c>
      <c r="D38" s="34">
        <v>8</v>
      </c>
      <c r="E38" s="34">
        <v>9</v>
      </c>
      <c r="F38" s="34">
        <v>14</v>
      </c>
      <c r="G38" s="34">
        <v>13</v>
      </c>
      <c r="H38" s="34">
        <v>16</v>
      </c>
      <c r="I38" s="34">
        <v>12</v>
      </c>
      <c r="J38" s="34">
        <v>11</v>
      </c>
      <c r="K38" s="34">
        <v>8</v>
      </c>
      <c r="L38" s="34">
        <v>12</v>
      </c>
      <c r="M38" s="34">
        <v>17</v>
      </c>
      <c r="N38" s="34">
        <v>22</v>
      </c>
    </row>
    <row r="39" spans="2:14" x14ac:dyDescent="0.3">
      <c r="B39" t="s">
        <v>150</v>
      </c>
      <c r="C39" s="36">
        <v>603</v>
      </c>
      <c r="D39" s="36">
        <v>817</v>
      </c>
      <c r="E39" s="36">
        <v>705</v>
      </c>
      <c r="F39" s="36">
        <v>1303</v>
      </c>
      <c r="G39" s="36">
        <v>1678</v>
      </c>
      <c r="H39" s="36">
        <v>1456</v>
      </c>
      <c r="I39" s="36">
        <v>1727</v>
      </c>
      <c r="J39" s="36">
        <v>2555</v>
      </c>
      <c r="K39" s="36">
        <v>2869</v>
      </c>
      <c r="L39" s="36">
        <v>3024</v>
      </c>
      <c r="M39" s="36">
        <v>3555</v>
      </c>
      <c r="N39" s="36">
        <v>3319</v>
      </c>
    </row>
    <row r="40" spans="2:14" ht="15" thickBot="1" x14ac:dyDescent="0.35">
      <c r="B40" s="33" t="s">
        <v>88</v>
      </c>
      <c r="C40" s="37">
        <v>8075</v>
      </c>
      <c r="D40" s="37">
        <v>8914</v>
      </c>
      <c r="E40" s="37">
        <v>10559</v>
      </c>
      <c r="F40" s="37">
        <v>12405</v>
      </c>
      <c r="G40" s="37">
        <v>13763</v>
      </c>
      <c r="H40" s="37">
        <v>16249</v>
      </c>
      <c r="I40" s="37">
        <v>16138</v>
      </c>
      <c r="J40" s="37">
        <v>20355</v>
      </c>
      <c r="K40" s="37">
        <v>22958</v>
      </c>
      <c r="L40" s="37">
        <v>25779</v>
      </c>
      <c r="M40" s="37">
        <v>29901</v>
      </c>
      <c r="N40" s="37">
        <v>30355</v>
      </c>
    </row>
    <row r="41" spans="2:14" ht="15" thickTop="1" x14ac:dyDescent="0.3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2:14" x14ac:dyDescent="0.3"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2:14" x14ac:dyDescent="0.3">
      <c r="C43" s="28">
        <v>41699</v>
      </c>
      <c r="D43" s="28">
        <v>42064</v>
      </c>
      <c r="E43" s="28">
        <v>42430</v>
      </c>
      <c r="F43" s="28">
        <v>42795</v>
      </c>
      <c r="G43" s="28">
        <v>43160</v>
      </c>
      <c r="H43" s="28">
        <v>43525</v>
      </c>
      <c r="I43" s="28">
        <v>43891</v>
      </c>
      <c r="J43" s="28">
        <v>44256</v>
      </c>
      <c r="K43" s="28">
        <v>44621</v>
      </c>
      <c r="L43" s="28">
        <v>44986</v>
      </c>
      <c r="M43" s="28">
        <v>45352</v>
      </c>
      <c r="N43" s="28">
        <v>45717</v>
      </c>
    </row>
    <row r="44" spans="2:14" x14ac:dyDescent="0.3">
      <c r="B44" t="s">
        <v>112</v>
      </c>
      <c r="C44" s="29">
        <v>1402</v>
      </c>
      <c r="D44" s="29">
        <v>1188</v>
      </c>
      <c r="E44" s="29">
        <v>2243</v>
      </c>
      <c r="F44" s="29">
        <v>1527</v>
      </c>
      <c r="G44" s="29">
        <v>2113</v>
      </c>
      <c r="H44" s="29">
        <v>2470</v>
      </c>
      <c r="I44" s="29">
        <v>3038</v>
      </c>
      <c r="J44" s="29">
        <v>3683</v>
      </c>
      <c r="K44">
        <v>986</v>
      </c>
      <c r="L44" s="29">
        <v>4193</v>
      </c>
      <c r="M44" s="29">
        <v>6104</v>
      </c>
      <c r="N44" s="29">
        <v>4424</v>
      </c>
    </row>
    <row r="45" spans="2:14" x14ac:dyDescent="0.3">
      <c r="B45" t="s">
        <v>90</v>
      </c>
      <c r="C45" s="29">
        <v>2051</v>
      </c>
      <c r="D45" s="29">
        <v>2271</v>
      </c>
      <c r="E45" s="29">
        <v>2848</v>
      </c>
      <c r="F45" s="29">
        <v>3056</v>
      </c>
      <c r="G45" s="29">
        <v>3274</v>
      </c>
      <c r="H45" s="29">
        <v>3861</v>
      </c>
      <c r="I45" s="29">
        <v>4380</v>
      </c>
      <c r="J45" s="29">
        <v>4970</v>
      </c>
      <c r="K45" s="29">
        <v>4957</v>
      </c>
      <c r="L45" s="29">
        <v>6460</v>
      </c>
      <c r="M45" s="29">
        <v>7929</v>
      </c>
      <c r="N45" s="29">
        <v>6390</v>
      </c>
    </row>
    <row r="46" spans="2:14" x14ac:dyDescent="0.3">
      <c r="B46" t="s">
        <v>46</v>
      </c>
      <c r="C46">
        <v>-254</v>
      </c>
      <c r="D46">
        <v>-155</v>
      </c>
      <c r="E46">
        <v>-146</v>
      </c>
      <c r="F46">
        <v>-475</v>
      </c>
      <c r="G46">
        <v>-483</v>
      </c>
      <c r="H46">
        <v>-205</v>
      </c>
      <c r="I46">
        <v>160</v>
      </c>
      <c r="J46">
        <v>-849</v>
      </c>
      <c r="K46" s="29">
        <v>-1326</v>
      </c>
      <c r="L46">
        <v>-834</v>
      </c>
      <c r="M46">
        <v>-362</v>
      </c>
      <c r="N46">
        <v>282</v>
      </c>
    </row>
    <row r="47" spans="2:14" x14ac:dyDescent="0.3">
      <c r="B47" t="s">
        <v>47</v>
      </c>
      <c r="C47">
        <v>-231</v>
      </c>
      <c r="D47">
        <v>-144</v>
      </c>
      <c r="E47">
        <v>202</v>
      </c>
      <c r="F47">
        <v>-629</v>
      </c>
      <c r="G47">
        <v>-39</v>
      </c>
      <c r="H47">
        <v>-492</v>
      </c>
      <c r="I47">
        <v>-251</v>
      </c>
      <c r="J47">
        <v>-409</v>
      </c>
      <c r="K47" s="29">
        <v>-2354</v>
      </c>
      <c r="L47">
        <v>-56</v>
      </c>
      <c r="M47">
        <v>315</v>
      </c>
      <c r="N47">
        <v>-805</v>
      </c>
    </row>
    <row r="48" spans="2:14" x14ac:dyDescent="0.3">
      <c r="B48" t="s">
        <v>91</v>
      </c>
      <c r="C48">
        <v>317</v>
      </c>
      <c r="D48">
        <v>-151</v>
      </c>
      <c r="E48">
        <v>142</v>
      </c>
      <c r="F48">
        <v>501</v>
      </c>
      <c r="G48">
        <v>442</v>
      </c>
      <c r="H48">
        <v>287</v>
      </c>
      <c r="I48">
        <v>-241</v>
      </c>
      <c r="J48" s="29">
        <v>1143</v>
      </c>
      <c r="K48">
        <v>644</v>
      </c>
      <c r="L48">
        <v>-539</v>
      </c>
      <c r="M48">
        <v>269</v>
      </c>
      <c r="N48">
        <v>-160</v>
      </c>
    </row>
    <row r="49" spans="2:14" x14ac:dyDescent="0.3">
      <c r="B49" t="s">
        <v>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-92</v>
      </c>
      <c r="K49">
        <v>242</v>
      </c>
      <c r="L49">
        <v>657</v>
      </c>
      <c r="M49">
        <v>-212</v>
      </c>
      <c r="N49">
        <v>114</v>
      </c>
    </row>
    <row r="50" spans="2:14" x14ac:dyDescent="0.3">
      <c r="B50" t="s">
        <v>93</v>
      </c>
      <c r="C50">
        <v>-168</v>
      </c>
      <c r="D50">
        <v>-450</v>
      </c>
      <c r="E50">
        <v>198</v>
      </c>
      <c r="F50">
        <v>-603</v>
      </c>
      <c r="G50">
        <v>-80</v>
      </c>
      <c r="H50">
        <v>-410</v>
      </c>
      <c r="I50">
        <v>-331</v>
      </c>
      <c r="J50">
        <v>-206</v>
      </c>
      <c r="K50" s="29">
        <v>-2795</v>
      </c>
      <c r="L50">
        <v>-772</v>
      </c>
      <c r="M50">
        <v>10</v>
      </c>
      <c r="N50">
        <v>-570</v>
      </c>
    </row>
    <row r="51" spans="2:14" x14ac:dyDescent="0.3">
      <c r="B51" t="s">
        <v>94</v>
      </c>
      <c r="C51">
        <v>-480</v>
      </c>
      <c r="D51">
        <v>-633</v>
      </c>
      <c r="E51">
        <v>-802</v>
      </c>
      <c r="F51">
        <v>-925</v>
      </c>
      <c r="G51" s="29">
        <v>-1081</v>
      </c>
      <c r="H51">
        <v>-982</v>
      </c>
      <c r="I51" s="29">
        <v>-1011</v>
      </c>
      <c r="J51" s="29">
        <v>-1080</v>
      </c>
      <c r="K51" s="29">
        <v>-1176</v>
      </c>
      <c r="L51" s="29">
        <v>-1494</v>
      </c>
      <c r="M51" s="29">
        <v>-1835</v>
      </c>
      <c r="N51" s="29">
        <v>-1396</v>
      </c>
    </row>
    <row r="52" spans="2:14" x14ac:dyDescent="0.3">
      <c r="B52" t="s">
        <v>113</v>
      </c>
      <c r="C52">
        <v>-586</v>
      </c>
      <c r="D52">
        <v>-465</v>
      </c>
      <c r="E52">
        <v>-866</v>
      </c>
      <c r="F52">
        <v>-681</v>
      </c>
      <c r="G52" s="29">
        <v>-1556</v>
      </c>
      <c r="H52">
        <v>-918</v>
      </c>
      <c r="I52">
        <v>-518</v>
      </c>
      <c r="J52">
        <v>-541</v>
      </c>
      <c r="K52">
        <v>-317</v>
      </c>
      <c r="L52" s="29">
        <v>-1282</v>
      </c>
      <c r="M52" s="29">
        <v>-2548</v>
      </c>
      <c r="N52">
        <v>-941</v>
      </c>
    </row>
    <row r="53" spans="2:14" x14ac:dyDescent="0.3">
      <c r="B53" t="s">
        <v>95</v>
      </c>
      <c r="C53">
        <v>-251</v>
      </c>
      <c r="D53">
        <v>-454</v>
      </c>
      <c r="E53">
        <v>-817</v>
      </c>
      <c r="F53">
        <v>-684</v>
      </c>
      <c r="G53" s="29">
        <v>-1426</v>
      </c>
      <c r="H53" s="29">
        <v>-1151</v>
      </c>
      <c r="I53">
        <v>-404</v>
      </c>
      <c r="J53">
        <v>-282</v>
      </c>
      <c r="K53">
        <v>-551</v>
      </c>
      <c r="L53" s="29">
        <v>-1446</v>
      </c>
      <c r="M53" s="29">
        <v>-2496</v>
      </c>
      <c r="N53" s="29">
        <v>-1830</v>
      </c>
    </row>
    <row r="54" spans="2:14" x14ac:dyDescent="0.3">
      <c r="B54" t="s">
        <v>96</v>
      </c>
      <c r="C54">
        <v>16</v>
      </c>
      <c r="D54">
        <v>16</v>
      </c>
      <c r="E54">
        <v>15</v>
      </c>
      <c r="F54">
        <v>17</v>
      </c>
      <c r="G54">
        <v>17</v>
      </c>
      <c r="H54">
        <v>17</v>
      </c>
      <c r="I54">
        <v>37</v>
      </c>
      <c r="J54">
        <v>28</v>
      </c>
      <c r="K54">
        <v>40</v>
      </c>
      <c r="L54">
        <v>26</v>
      </c>
      <c r="M54">
        <v>5</v>
      </c>
      <c r="N54">
        <v>10</v>
      </c>
    </row>
    <row r="55" spans="2:14" x14ac:dyDescent="0.3">
      <c r="B55" t="s">
        <v>97</v>
      </c>
      <c r="C55">
        <v>-872</v>
      </c>
      <c r="D55">
        <v>-243</v>
      </c>
      <c r="E55">
        <v>-282</v>
      </c>
      <c r="F55">
        <v>-153</v>
      </c>
      <c r="G55">
        <v>-320</v>
      </c>
      <c r="H55">
        <v>-573</v>
      </c>
      <c r="I55">
        <v>-25</v>
      </c>
      <c r="J55">
        <v>-140</v>
      </c>
      <c r="K55">
        <v>0</v>
      </c>
      <c r="L55">
        <v>-146</v>
      </c>
      <c r="M55">
        <v>-212</v>
      </c>
      <c r="N55">
        <v>-1</v>
      </c>
    </row>
    <row r="56" spans="2:14" x14ac:dyDescent="0.3">
      <c r="B56" t="s">
        <v>98</v>
      </c>
      <c r="C56">
        <v>463</v>
      </c>
      <c r="D56">
        <v>278</v>
      </c>
      <c r="E56">
        <v>205</v>
      </c>
      <c r="F56">
        <v>357</v>
      </c>
      <c r="G56">
        <v>362</v>
      </c>
      <c r="H56">
        <v>733</v>
      </c>
      <c r="I56">
        <v>134</v>
      </c>
      <c r="J56">
        <v>272</v>
      </c>
      <c r="K56">
        <v>207</v>
      </c>
      <c r="L56">
        <v>446</v>
      </c>
      <c r="M56">
        <v>240</v>
      </c>
      <c r="N56">
        <v>421</v>
      </c>
    </row>
    <row r="57" spans="2:14" x14ac:dyDescent="0.3">
      <c r="B57" t="s">
        <v>99</v>
      </c>
      <c r="C57">
        <v>14</v>
      </c>
      <c r="D57">
        <v>11</v>
      </c>
      <c r="E57">
        <v>15</v>
      </c>
      <c r="F57">
        <v>32</v>
      </c>
      <c r="G57">
        <v>39</v>
      </c>
      <c r="H57">
        <v>40</v>
      </c>
      <c r="I57">
        <v>65</v>
      </c>
      <c r="J57">
        <v>73</v>
      </c>
      <c r="K57">
        <v>77</v>
      </c>
      <c r="L57">
        <v>87</v>
      </c>
      <c r="M57">
        <v>135</v>
      </c>
      <c r="N57">
        <v>155</v>
      </c>
    </row>
    <row r="58" spans="2:14" x14ac:dyDescent="0.3">
      <c r="B58" t="s">
        <v>100</v>
      </c>
      <c r="C58">
        <v>65</v>
      </c>
      <c r="D58">
        <v>71</v>
      </c>
      <c r="E58">
        <v>69</v>
      </c>
      <c r="F58">
        <v>74</v>
      </c>
      <c r="G58">
        <v>38</v>
      </c>
      <c r="H58">
        <v>40</v>
      </c>
      <c r="I58">
        <v>27</v>
      </c>
      <c r="J58">
        <v>8</v>
      </c>
      <c r="K58">
        <v>15</v>
      </c>
      <c r="L58">
        <v>56</v>
      </c>
      <c r="M58">
        <v>129</v>
      </c>
      <c r="N58">
        <v>136</v>
      </c>
    </row>
    <row r="59" spans="2:14" x14ac:dyDescent="0.3"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-180</v>
      </c>
      <c r="M59">
        <v>0</v>
      </c>
      <c r="N59">
        <v>0</v>
      </c>
    </row>
    <row r="60" spans="2:14" x14ac:dyDescent="0.3">
      <c r="B60" t="s">
        <v>102</v>
      </c>
      <c r="C60">
        <v>0</v>
      </c>
      <c r="D60">
        <v>0</v>
      </c>
      <c r="E60">
        <v>0</v>
      </c>
      <c r="F60">
        <v>0</v>
      </c>
      <c r="G60">
        <v>141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38</v>
      </c>
    </row>
    <row r="61" spans="2:14" x14ac:dyDescent="0.3">
      <c r="B61" t="s">
        <v>103</v>
      </c>
      <c r="C61">
        <v>0</v>
      </c>
      <c r="D61">
        <v>0</v>
      </c>
      <c r="E61">
        <v>0</v>
      </c>
      <c r="F61">
        <v>0</v>
      </c>
      <c r="G61">
        <v>-525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2:14" x14ac:dyDescent="0.3">
      <c r="B62" t="s">
        <v>104</v>
      </c>
      <c r="C62">
        <v>-21</v>
      </c>
      <c r="D62">
        <v>-144</v>
      </c>
      <c r="E62">
        <v>-70</v>
      </c>
      <c r="F62">
        <v>-324</v>
      </c>
      <c r="G62">
        <v>118</v>
      </c>
      <c r="H62">
        <v>-24</v>
      </c>
      <c r="I62">
        <v>-353</v>
      </c>
      <c r="J62">
        <v>-500</v>
      </c>
      <c r="K62">
        <v>-105</v>
      </c>
      <c r="L62">
        <v>-126</v>
      </c>
      <c r="M62">
        <v>-350</v>
      </c>
      <c r="N62">
        <v>130</v>
      </c>
    </row>
    <row r="63" spans="2:14" x14ac:dyDescent="0.3">
      <c r="B63" t="s">
        <v>114</v>
      </c>
      <c r="C63">
        <v>-626</v>
      </c>
      <c r="D63">
        <v>-576</v>
      </c>
      <c r="E63">
        <v>-849</v>
      </c>
      <c r="F63">
        <v>-756</v>
      </c>
      <c r="G63" s="29">
        <v>-1379</v>
      </c>
      <c r="H63" s="29">
        <v>-1117</v>
      </c>
      <c r="I63" s="29">
        <v>-2871</v>
      </c>
      <c r="J63">
        <v>-650</v>
      </c>
      <c r="K63" s="29">
        <v>-1808</v>
      </c>
      <c r="L63" s="29">
        <v>-2140</v>
      </c>
      <c r="M63" s="29">
        <v>-2982</v>
      </c>
      <c r="N63" s="29">
        <v>-3753</v>
      </c>
    </row>
    <row r="64" spans="2:14" x14ac:dyDescent="0.3">
      <c r="B64" t="s">
        <v>105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2:14" x14ac:dyDescent="0.3">
      <c r="B65" t="s">
        <v>106</v>
      </c>
      <c r="C65">
        <v>44</v>
      </c>
      <c r="D65">
        <v>239</v>
      </c>
      <c r="E65">
        <v>8</v>
      </c>
      <c r="F65">
        <v>271</v>
      </c>
      <c r="G65">
        <v>10</v>
      </c>
      <c r="H65">
        <v>243</v>
      </c>
      <c r="I65">
        <v>18</v>
      </c>
      <c r="J65">
        <v>155</v>
      </c>
      <c r="K65">
        <v>418</v>
      </c>
      <c r="L65">
        <v>254</v>
      </c>
      <c r="M65">
        <v>101</v>
      </c>
      <c r="N65">
        <v>415</v>
      </c>
    </row>
    <row r="66" spans="2:14" x14ac:dyDescent="0.3">
      <c r="B66" t="s">
        <v>107</v>
      </c>
      <c r="C66">
        <v>-81</v>
      </c>
      <c r="D66">
        <v>-86</v>
      </c>
      <c r="E66">
        <v>-119</v>
      </c>
      <c r="F66">
        <v>-58</v>
      </c>
      <c r="G66">
        <v>-54</v>
      </c>
      <c r="H66">
        <v>-26</v>
      </c>
      <c r="I66">
        <v>-279</v>
      </c>
      <c r="J66">
        <v>-14</v>
      </c>
      <c r="K66">
        <v>-8</v>
      </c>
      <c r="L66">
        <v>-25</v>
      </c>
      <c r="M66">
        <v>-98</v>
      </c>
      <c r="N66">
        <v>-428</v>
      </c>
    </row>
    <row r="67" spans="2:14" x14ac:dyDescent="0.3">
      <c r="B67" t="s">
        <v>108</v>
      </c>
      <c r="C67">
        <v>-42</v>
      </c>
      <c r="D67">
        <v>-35</v>
      </c>
      <c r="E67">
        <v>-40</v>
      </c>
      <c r="F67">
        <v>-36</v>
      </c>
      <c r="G67">
        <v>-35</v>
      </c>
      <c r="H67">
        <v>-106</v>
      </c>
      <c r="I67">
        <v>-101</v>
      </c>
      <c r="J67">
        <v>-89</v>
      </c>
      <c r="K67">
        <v>-94</v>
      </c>
      <c r="L67">
        <v>-142</v>
      </c>
      <c r="M67">
        <v>-191</v>
      </c>
      <c r="N67">
        <v>-203</v>
      </c>
    </row>
    <row r="68" spans="2:14" x14ac:dyDescent="0.3">
      <c r="B68" t="s">
        <v>109</v>
      </c>
      <c r="C68">
        <v>-547</v>
      </c>
      <c r="D68">
        <v>-695</v>
      </c>
      <c r="E68">
        <v>-764</v>
      </c>
      <c r="F68">
        <v>-947</v>
      </c>
      <c r="G68" s="29">
        <v>-1218</v>
      </c>
      <c r="H68" s="29">
        <v>-1049</v>
      </c>
      <c r="I68" s="29">
        <v>-2121</v>
      </c>
      <c r="J68">
        <v>-499</v>
      </c>
      <c r="K68" s="29">
        <v>-1763</v>
      </c>
      <c r="L68" s="29">
        <v>-1936</v>
      </c>
      <c r="M68" s="29">
        <v>-2551</v>
      </c>
      <c r="N68" s="29">
        <v>-3140</v>
      </c>
    </row>
    <row r="69" spans="2:14" x14ac:dyDescent="0.3">
      <c r="B69" t="s">
        <v>110</v>
      </c>
      <c r="C69">
        <v>0</v>
      </c>
      <c r="D69">
        <v>0</v>
      </c>
      <c r="E69">
        <v>0</v>
      </c>
      <c r="F69">
        <v>0</v>
      </c>
      <c r="G69">
        <v>0</v>
      </c>
      <c r="H69">
        <v>-180</v>
      </c>
      <c r="I69">
        <v>-179</v>
      </c>
      <c r="J69">
        <v>-203</v>
      </c>
      <c r="K69">
        <v>-221</v>
      </c>
      <c r="L69">
        <v>-256</v>
      </c>
      <c r="M69">
        <v>-286</v>
      </c>
      <c r="N69">
        <v>-325</v>
      </c>
    </row>
    <row r="70" spans="2:14" x14ac:dyDescent="0.3">
      <c r="B70" t="s">
        <v>111</v>
      </c>
      <c r="C70">
        <v>0</v>
      </c>
      <c r="D70">
        <v>0</v>
      </c>
      <c r="E70">
        <v>66</v>
      </c>
      <c r="F70">
        <v>13</v>
      </c>
      <c r="G70">
        <v>-82</v>
      </c>
      <c r="H70">
        <v>0</v>
      </c>
      <c r="I70">
        <v>-209</v>
      </c>
      <c r="J70">
        <v>0</v>
      </c>
      <c r="K70">
        <v>-140</v>
      </c>
      <c r="L70">
        <v>-36</v>
      </c>
      <c r="M70">
        <v>41</v>
      </c>
      <c r="N70">
        <v>-72</v>
      </c>
    </row>
    <row r="71" spans="2:14" x14ac:dyDescent="0.3">
      <c r="B71" t="s">
        <v>56</v>
      </c>
      <c r="C71">
        <v>190</v>
      </c>
      <c r="D71">
        <v>147</v>
      </c>
      <c r="E71">
        <v>528</v>
      </c>
      <c r="F71">
        <v>90</v>
      </c>
      <c r="G71">
        <v>-822</v>
      </c>
      <c r="H71">
        <v>434</v>
      </c>
      <c r="I71">
        <v>-351</v>
      </c>
      <c r="J71" s="29">
        <v>2492</v>
      </c>
      <c r="K71" s="29">
        <v>-1138</v>
      </c>
      <c r="L71">
        <v>771</v>
      </c>
      <c r="M71">
        <v>573</v>
      </c>
      <c r="N71">
        <v>-270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historical </vt:lpstr>
      <vt:lpstr>Data&gt; </vt:lpstr>
      <vt:lpstr>Data Sheet</vt:lpstr>
      <vt:lpstr>Intrinsic Growth</vt:lpstr>
      <vt:lpstr>Data Room&gt;</vt:lpstr>
      <vt:lpstr>Raw Fs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2025-09-02T08:03:09Z</cp:lastPrinted>
  <dcterms:created xsi:type="dcterms:W3CDTF">2025-08-30T09:15:50Z</dcterms:created>
  <dcterms:modified xsi:type="dcterms:W3CDTF">2025-09-18T09:58:47Z</dcterms:modified>
</cp:coreProperties>
</file>