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EBE3D58A-DB51-41FA-8981-A7F9CAA01859}" xr6:coauthVersionLast="47" xr6:coauthVersionMax="47" xr10:uidLastSave="{00000000-0000-0000-0000-000000000000}"/>
  <bookViews>
    <workbookView xWindow="-108" yWindow="-108" windowWidth="23256" windowHeight="12456" activeTab="1" xr2:uid="{3A15C47B-5072-412C-B632-B31D3E5A8CD2}"/>
  </bookViews>
  <sheets>
    <sheet name="Financials&gt; " sheetId="4" r:id="rId1"/>
    <sheet name="historical " sheetId="5" r:id="rId2"/>
    <sheet name="Ratio Analysis" sheetId="10" r:id="rId3"/>
    <sheet name="Forcasting" sheetId="11" r:id="rId4"/>
    <sheet name="Data&gt; " sheetId="6" r:id="rId5"/>
    <sheet name="cash flow data" sheetId="9" r:id="rId6"/>
    <sheet name="Data Sheet" sheetId="8" r:id="rId7"/>
  </sheets>
  <definedNames>
    <definedName name="Beta">#REF!</definedName>
    <definedName name="Cost_of_Debt">#REF!</definedName>
    <definedName name="Cost_of_Sales">#REF!</definedName>
    <definedName name="CostofDebt">#REF!</definedName>
    <definedName name="Current_Sales">#REF!</definedName>
    <definedName name="Debt_Funding">#REF!</definedName>
    <definedName name="Debt_Value">#REF!</definedName>
    <definedName name="DebtValue">#REF!</definedName>
    <definedName name="Equity_Funding">#REF!</definedName>
    <definedName name="Equity_Value">#REF!</definedName>
    <definedName name="EquityValue">#REF!</definedName>
    <definedName name="ERP">#REF!</definedName>
    <definedName name="Gross_Margin">#REF!</definedName>
    <definedName name="Market_Returns">#REF!</definedName>
    <definedName name="MarketReturns">#REF!</definedName>
    <definedName name="Next_Year_Sales">#REF!</definedName>
    <definedName name="Post_Tax_Cost_of_Debt">#REF!</definedName>
    <definedName name="Risk_Free_Rate">#REF!</definedName>
    <definedName name="RiskFreeRate">#REF!</definedName>
    <definedName name="Sales_Growth">#REF!</definedName>
    <definedName name="Tax_Rate">#REF!</definedName>
    <definedName name="TaxRate">#REF!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1" l="1"/>
  <c r="D14" i="11"/>
  <c r="C110" i="5"/>
  <c r="L107" i="5"/>
  <c r="K107" i="5"/>
  <c r="J107" i="5"/>
  <c r="I107" i="5"/>
  <c r="H107" i="5"/>
  <c r="G107" i="5"/>
  <c r="F107" i="5"/>
  <c r="E107" i="5"/>
  <c r="D107" i="5"/>
  <c r="C107" i="5"/>
  <c r="L106" i="5"/>
  <c r="K106" i="5"/>
  <c r="J106" i="5"/>
  <c r="I106" i="5"/>
  <c r="H106" i="5"/>
  <c r="G106" i="5"/>
  <c r="F106" i="5"/>
  <c r="E106" i="5"/>
  <c r="D106" i="5"/>
  <c r="C106" i="5"/>
  <c r="L105" i="5"/>
  <c r="K105" i="5"/>
  <c r="J105" i="5"/>
  <c r="I105" i="5"/>
  <c r="H105" i="5"/>
  <c r="G105" i="5"/>
  <c r="F105" i="5"/>
  <c r="E105" i="5"/>
  <c r="D105" i="5"/>
  <c r="C105" i="5"/>
  <c r="L104" i="5"/>
  <c r="K104" i="5"/>
  <c r="J104" i="5"/>
  <c r="I104" i="5"/>
  <c r="H104" i="5"/>
  <c r="G104" i="5"/>
  <c r="F104" i="5"/>
  <c r="E104" i="5"/>
  <c r="D104" i="5"/>
  <c r="C104" i="5"/>
  <c r="L103" i="5"/>
  <c r="K103" i="5"/>
  <c r="J103" i="5"/>
  <c r="I103" i="5"/>
  <c r="H103" i="5"/>
  <c r="G103" i="5"/>
  <c r="F103" i="5"/>
  <c r="E103" i="5"/>
  <c r="D103" i="5"/>
  <c r="C103" i="5"/>
  <c r="L102" i="5"/>
  <c r="K102" i="5"/>
  <c r="J102" i="5"/>
  <c r="I102" i="5"/>
  <c r="H102" i="5"/>
  <c r="G102" i="5"/>
  <c r="F102" i="5"/>
  <c r="E102" i="5"/>
  <c r="D102" i="5"/>
  <c r="C102" i="5"/>
  <c r="L101" i="5"/>
  <c r="K101" i="5"/>
  <c r="J101" i="5"/>
  <c r="I101" i="5"/>
  <c r="H101" i="5"/>
  <c r="G101" i="5"/>
  <c r="F101" i="5"/>
  <c r="E101" i="5"/>
  <c r="D101" i="5"/>
  <c r="C101" i="5"/>
  <c r="L97" i="5"/>
  <c r="K97" i="5"/>
  <c r="J97" i="5"/>
  <c r="I97" i="5"/>
  <c r="H97" i="5"/>
  <c r="G97" i="5"/>
  <c r="F97" i="5"/>
  <c r="E97" i="5"/>
  <c r="D97" i="5"/>
  <c r="C97" i="5"/>
  <c r="L96" i="5"/>
  <c r="K96" i="5"/>
  <c r="J96" i="5"/>
  <c r="I96" i="5"/>
  <c r="H96" i="5"/>
  <c r="G96" i="5"/>
  <c r="F96" i="5"/>
  <c r="E96" i="5"/>
  <c r="D96" i="5"/>
  <c r="C96" i="5"/>
  <c r="L95" i="5"/>
  <c r="K95" i="5"/>
  <c r="J95" i="5"/>
  <c r="I95" i="5"/>
  <c r="H95" i="5"/>
  <c r="G95" i="5"/>
  <c r="F95" i="5"/>
  <c r="E95" i="5"/>
  <c r="D95" i="5"/>
  <c r="C95" i="5"/>
  <c r="L94" i="5"/>
  <c r="K94" i="5"/>
  <c r="J94" i="5"/>
  <c r="I94" i="5"/>
  <c r="H94" i="5"/>
  <c r="G94" i="5"/>
  <c r="F94" i="5"/>
  <c r="E94" i="5"/>
  <c r="D94" i="5"/>
  <c r="C94" i="5"/>
  <c r="L93" i="5"/>
  <c r="K93" i="5"/>
  <c r="J93" i="5"/>
  <c r="I93" i="5"/>
  <c r="H93" i="5"/>
  <c r="G93" i="5"/>
  <c r="F93" i="5"/>
  <c r="E93" i="5"/>
  <c r="D93" i="5"/>
  <c r="C93" i="5"/>
  <c r="L92" i="5"/>
  <c r="K92" i="5"/>
  <c r="J92" i="5"/>
  <c r="I92" i="5"/>
  <c r="H92" i="5"/>
  <c r="G92" i="5"/>
  <c r="F92" i="5"/>
  <c r="E92" i="5"/>
  <c r="D92" i="5"/>
  <c r="C92" i="5"/>
  <c r="L91" i="5"/>
  <c r="K91" i="5"/>
  <c r="J91" i="5"/>
  <c r="I91" i="5"/>
  <c r="H91" i="5"/>
  <c r="G91" i="5"/>
  <c r="F91" i="5"/>
  <c r="E91" i="5"/>
  <c r="D91" i="5"/>
  <c r="C91" i="5"/>
  <c r="L90" i="5"/>
  <c r="K90" i="5"/>
  <c r="J90" i="5"/>
  <c r="I90" i="5"/>
  <c r="H90" i="5"/>
  <c r="G90" i="5"/>
  <c r="F90" i="5"/>
  <c r="E90" i="5"/>
  <c r="D90" i="5"/>
  <c r="C90" i="5"/>
  <c r="L89" i="5"/>
  <c r="K89" i="5"/>
  <c r="J89" i="5"/>
  <c r="I89" i="5"/>
  <c r="H89" i="5"/>
  <c r="G89" i="5"/>
  <c r="F89" i="5"/>
  <c r="E89" i="5"/>
  <c r="D89" i="5"/>
  <c r="C89" i="5"/>
  <c r="L88" i="5"/>
  <c r="K88" i="5"/>
  <c r="J88" i="5"/>
  <c r="I88" i="5"/>
  <c r="H88" i="5"/>
  <c r="G88" i="5"/>
  <c r="F88" i="5"/>
  <c r="E88" i="5"/>
  <c r="D88" i="5"/>
  <c r="C88" i="5"/>
  <c r="L87" i="5"/>
  <c r="K87" i="5"/>
  <c r="J87" i="5"/>
  <c r="I87" i="5"/>
  <c r="H87" i="5"/>
  <c r="G87" i="5"/>
  <c r="F87" i="5"/>
  <c r="E87" i="5"/>
  <c r="D87" i="5"/>
  <c r="C87" i="5"/>
  <c r="C73" i="5"/>
  <c r="L83" i="5"/>
  <c r="K83" i="5"/>
  <c r="J83" i="5"/>
  <c r="I83" i="5"/>
  <c r="H83" i="5"/>
  <c r="G83" i="5"/>
  <c r="F83" i="5"/>
  <c r="E83" i="5"/>
  <c r="D83" i="5"/>
  <c r="C83" i="5"/>
  <c r="L82" i="5"/>
  <c r="K82" i="5"/>
  <c r="J82" i="5"/>
  <c r="I82" i="5"/>
  <c r="H82" i="5"/>
  <c r="G82" i="5"/>
  <c r="F82" i="5"/>
  <c r="E82" i="5"/>
  <c r="D82" i="5"/>
  <c r="C82" i="5"/>
  <c r="L81" i="5"/>
  <c r="K81" i="5"/>
  <c r="J81" i="5"/>
  <c r="I81" i="5"/>
  <c r="H81" i="5"/>
  <c r="G81" i="5"/>
  <c r="F81" i="5"/>
  <c r="E81" i="5"/>
  <c r="D81" i="5"/>
  <c r="C81" i="5"/>
  <c r="L80" i="5"/>
  <c r="K80" i="5"/>
  <c r="J80" i="5"/>
  <c r="I80" i="5"/>
  <c r="H80" i="5"/>
  <c r="G80" i="5"/>
  <c r="F80" i="5"/>
  <c r="E80" i="5"/>
  <c r="D80" i="5"/>
  <c r="C80" i="5"/>
  <c r="L79" i="5"/>
  <c r="K79" i="5"/>
  <c r="J79" i="5"/>
  <c r="I79" i="5"/>
  <c r="H79" i="5"/>
  <c r="G79" i="5"/>
  <c r="F79" i="5"/>
  <c r="E79" i="5"/>
  <c r="D79" i="5"/>
  <c r="C79" i="5"/>
  <c r="L78" i="5"/>
  <c r="K78" i="5"/>
  <c r="J78" i="5"/>
  <c r="I78" i="5"/>
  <c r="H78" i="5"/>
  <c r="G78" i="5"/>
  <c r="F78" i="5"/>
  <c r="E78" i="5"/>
  <c r="D78" i="5"/>
  <c r="C78" i="5"/>
  <c r="L77" i="5"/>
  <c r="K77" i="5"/>
  <c r="J77" i="5"/>
  <c r="I77" i="5"/>
  <c r="H77" i="5"/>
  <c r="G77" i="5"/>
  <c r="F77" i="5"/>
  <c r="E77" i="5"/>
  <c r="D77" i="5"/>
  <c r="C77" i="5"/>
  <c r="L76" i="5"/>
  <c r="K76" i="5"/>
  <c r="J76" i="5"/>
  <c r="I76" i="5"/>
  <c r="H76" i="5"/>
  <c r="G76" i="5"/>
  <c r="F76" i="5"/>
  <c r="E76" i="5"/>
  <c r="D76" i="5"/>
  <c r="C76" i="5"/>
  <c r="L75" i="5"/>
  <c r="K75" i="5"/>
  <c r="J75" i="5"/>
  <c r="I75" i="5"/>
  <c r="H75" i="5"/>
  <c r="G75" i="5"/>
  <c r="F75" i="5"/>
  <c r="E75" i="5"/>
  <c r="D75" i="5"/>
  <c r="C75" i="5"/>
  <c r="L74" i="5"/>
  <c r="K74" i="5"/>
  <c r="J74" i="5"/>
  <c r="I74" i="5"/>
  <c r="H74" i="5"/>
  <c r="G74" i="5"/>
  <c r="F74" i="5"/>
  <c r="E74" i="5"/>
  <c r="D74" i="5"/>
  <c r="C74" i="5"/>
  <c r="L73" i="5"/>
  <c r="K73" i="5"/>
  <c r="J73" i="5"/>
  <c r="I73" i="5"/>
  <c r="H73" i="5"/>
  <c r="G73" i="5"/>
  <c r="F73" i="5"/>
  <c r="E73" i="5"/>
  <c r="D73" i="5"/>
  <c r="L2" i="11"/>
  <c r="L5" i="11"/>
  <c r="L6" i="11" s="1"/>
  <c r="L7" i="11" s="1"/>
  <c r="L8" i="11" s="1"/>
  <c r="L9" i="11" s="1"/>
  <c r="L10" i="11" s="1"/>
  <c r="L11" i="11" s="1"/>
  <c r="L12" i="11" s="1"/>
  <c r="L13" i="11" s="1"/>
  <c r="L14" i="11" s="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H4" i="1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G2" i="11"/>
  <c r="G5" i="11"/>
  <c r="G6" i="11" s="1"/>
  <c r="G7" i="11" s="1"/>
  <c r="G8" i="11" s="1"/>
  <c r="G9" i="11" s="1"/>
  <c r="G10" i="11" s="1"/>
  <c r="G11" i="11" s="1"/>
  <c r="G12" i="11" s="1"/>
  <c r="G13" i="11" s="1"/>
  <c r="G14" i="11" s="1"/>
  <c r="B2" i="11"/>
  <c r="D4" i="11" a="1"/>
  <c r="D6" i="11" s="1"/>
  <c r="E6" i="11" s="1"/>
  <c r="D5" i="11"/>
  <c r="B5" i="1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C108" i="5" l="1"/>
  <c r="C84" i="5"/>
  <c r="D13" i="11"/>
  <c r="D12" i="11"/>
  <c r="D10" i="11"/>
  <c r="D9" i="11"/>
  <c r="D7" i="11"/>
  <c r="E7" i="11" s="1"/>
  <c r="D4" i="11"/>
  <c r="D11" i="11"/>
  <c r="E11" i="11" s="1"/>
  <c r="D8" i="11"/>
  <c r="E8" i="11" s="1"/>
  <c r="L15" i="11"/>
  <c r="G15" i="11"/>
  <c r="B2" i="10"/>
  <c r="E10" i="11" l="1"/>
  <c r="E12" i="11"/>
  <c r="E13" i="11"/>
  <c r="D16" i="11"/>
  <c r="D17" i="11"/>
  <c r="E17" i="11" s="1"/>
  <c r="E14" i="11"/>
  <c r="D15" i="11"/>
  <c r="E15" i="11" s="1"/>
  <c r="E5" i="11"/>
  <c r="D18" i="11"/>
  <c r="L16" i="11"/>
  <c r="G16" i="11"/>
  <c r="E16" i="11" l="1"/>
  <c r="E18" i="11"/>
  <c r="L17" i="11"/>
  <c r="G17" i="11"/>
  <c r="L3" i="10"/>
  <c r="K3" i="10"/>
  <c r="J3" i="10"/>
  <c r="I3" i="10"/>
  <c r="H3" i="10"/>
  <c r="G3" i="10"/>
  <c r="F3" i="10"/>
  <c r="E3" i="10"/>
  <c r="D3" i="10"/>
  <c r="C3" i="10"/>
  <c r="D58" i="5"/>
  <c r="E58" i="5"/>
  <c r="F58" i="5"/>
  <c r="G58" i="5"/>
  <c r="H58" i="5"/>
  <c r="I58" i="5"/>
  <c r="J58" i="5"/>
  <c r="K58" i="5"/>
  <c r="L58" i="5"/>
  <c r="C58" i="5"/>
  <c r="C62" i="5"/>
  <c r="D62" i="5"/>
  <c r="E62" i="5"/>
  <c r="F62" i="5"/>
  <c r="G62" i="5"/>
  <c r="H62" i="5"/>
  <c r="I62" i="5"/>
  <c r="J62" i="5"/>
  <c r="K62" i="5"/>
  <c r="L62" i="5"/>
  <c r="C63" i="5"/>
  <c r="D63" i="5"/>
  <c r="E63" i="5"/>
  <c r="F63" i="5"/>
  <c r="G63" i="5"/>
  <c r="H63" i="5"/>
  <c r="I63" i="5"/>
  <c r="J63" i="5"/>
  <c r="K63" i="5"/>
  <c r="L63" i="5"/>
  <c r="D61" i="5"/>
  <c r="E61" i="5"/>
  <c r="F61" i="5"/>
  <c r="G61" i="5"/>
  <c r="H61" i="5"/>
  <c r="I61" i="5"/>
  <c r="J61" i="5"/>
  <c r="K61" i="5"/>
  <c r="L61" i="5"/>
  <c r="C61" i="5"/>
  <c r="D55" i="5"/>
  <c r="E55" i="5"/>
  <c r="F55" i="5"/>
  <c r="G55" i="5"/>
  <c r="H55" i="5"/>
  <c r="I55" i="5"/>
  <c r="J55" i="5"/>
  <c r="K55" i="5"/>
  <c r="L55" i="5"/>
  <c r="D56" i="5"/>
  <c r="E56" i="5"/>
  <c r="F56" i="5"/>
  <c r="G56" i="5"/>
  <c r="H56" i="5"/>
  <c r="I56" i="5"/>
  <c r="J56" i="5"/>
  <c r="K56" i="5"/>
  <c r="L56" i="5"/>
  <c r="D57" i="5"/>
  <c r="E57" i="5"/>
  <c r="F57" i="5"/>
  <c r="G57" i="5"/>
  <c r="H57" i="5"/>
  <c r="I57" i="5"/>
  <c r="J57" i="5"/>
  <c r="K57" i="5"/>
  <c r="L57" i="5"/>
  <c r="C56" i="5"/>
  <c r="C57" i="5"/>
  <c r="C55" i="5"/>
  <c r="D49" i="5"/>
  <c r="E49" i="5"/>
  <c r="F49" i="5"/>
  <c r="G49" i="5"/>
  <c r="H49" i="5"/>
  <c r="I49" i="5"/>
  <c r="J49" i="5"/>
  <c r="K49" i="5"/>
  <c r="L49" i="5"/>
  <c r="D50" i="5"/>
  <c r="E50" i="5"/>
  <c r="F50" i="5"/>
  <c r="G50" i="5"/>
  <c r="H50" i="5"/>
  <c r="I50" i="5"/>
  <c r="J50" i="5"/>
  <c r="K50" i="5"/>
  <c r="L50" i="5"/>
  <c r="D51" i="5"/>
  <c r="E51" i="5"/>
  <c r="F51" i="5"/>
  <c r="G51" i="5"/>
  <c r="H51" i="5"/>
  <c r="I51" i="5"/>
  <c r="J51" i="5"/>
  <c r="K51" i="5"/>
  <c r="L51" i="5"/>
  <c r="D52" i="5"/>
  <c r="E52" i="5"/>
  <c r="F52" i="5"/>
  <c r="G52" i="5"/>
  <c r="H52" i="5"/>
  <c r="I52" i="5"/>
  <c r="J52" i="5"/>
  <c r="K52" i="5"/>
  <c r="L52" i="5"/>
  <c r="D53" i="5"/>
  <c r="E53" i="5"/>
  <c r="F53" i="5"/>
  <c r="G53" i="5"/>
  <c r="H53" i="5"/>
  <c r="I53" i="5"/>
  <c r="J53" i="5"/>
  <c r="K53" i="5"/>
  <c r="L53" i="5"/>
  <c r="C50" i="5"/>
  <c r="C51" i="5"/>
  <c r="C52" i="5"/>
  <c r="C53" i="5"/>
  <c r="C49" i="5"/>
  <c r="D41" i="5"/>
  <c r="E41" i="5"/>
  <c r="F41" i="5"/>
  <c r="G41" i="5"/>
  <c r="H41" i="5"/>
  <c r="H9" i="10" s="1"/>
  <c r="I41" i="5"/>
  <c r="I9" i="10" s="1"/>
  <c r="J41" i="5"/>
  <c r="J9" i="10" s="1"/>
  <c r="K41" i="5"/>
  <c r="K9" i="10" s="1"/>
  <c r="L41" i="5"/>
  <c r="L9" i="10" s="1"/>
  <c r="C41" i="5"/>
  <c r="D36" i="5"/>
  <c r="E36" i="5"/>
  <c r="F36" i="5"/>
  <c r="G36" i="5"/>
  <c r="H36" i="5"/>
  <c r="I36" i="5"/>
  <c r="J36" i="5"/>
  <c r="K36" i="5"/>
  <c r="L36" i="5"/>
  <c r="C36" i="5"/>
  <c r="M30" i="5"/>
  <c r="D30" i="5"/>
  <c r="E30" i="5"/>
  <c r="F30" i="5"/>
  <c r="G30" i="5"/>
  <c r="H30" i="5"/>
  <c r="I30" i="5"/>
  <c r="J30" i="5"/>
  <c r="K30" i="5"/>
  <c r="L30" i="5"/>
  <c r="C30" i="5"/>
  <c r="C24" i="5"/>
  <c r="M24" i="5"/>
  <c r="D24" i="5"/>
  <c r="E24" i="5"/>
  <c r="F24" i="5"/>
  <c r="G24" i="5"/>
  <c r="H24" i="5"/>
  <c r="I24" i="5"/>
  <c r="J24" i="5"/>
  <c r="K24" i="5"/>
  <c r="L24" i="5"/>
  <c r="M21" i="5"/>
  <c r="D21" i="5"/>
  <c r="E21" i="5"/>
  <c r="E22" i="5" s="1"/>
  <c r="F21" i="5"/>
  <c r="G21" i="5"/>
  <c r="H21" i="5"/>
  <c r="I21" i="5"/>
  <c r="J21" i="5"/>
  <c r="K21" i="5"/>
  <c r="L21" i="5"/>
  <c r="C21" i="5"/>
  <c r="L15" i="5"/>
  <c r="K15" i="5"/>
  <c r="J15" i="5"/>
  <c r="I15" i="5"/>
  <c r="H15" i="5"/>
  <c r="G15" i="5"/>
  <c r="F15" i="5"/>
  <c r="E15" i="5"/>
  <c r="D15" i="5"/>
  <c r="C15" i="5"/>
  <c r="M9" i="5"/>
  <c r="D9" i="5"/>
  <c r="E9" i="5"/>
  <c r="F9" i="5"/>
  <c r="G9" i="5"/>
  <c r="G10" i="5" s="1"/>
  <c r="H9" i="5"/>
  <c r="H10" i="5" s="1"/>
  <c r="I9" i="5"/>
  <c r="J9" i="5"/>
  <c r="K9" i="5"/>
  <c r="L9" i="5"/>
  <c r="L10" i="5" s="1"/>
  <c r="C9" i="5"/>
  <c r="M6" i="5"/>
  <c r="D6" i="5"/>
  <c r="E6" i="5"/>
  <c r="F6" i="5"/>
  <c r="G6" i="5"/>
  <c r="H6" i="5"/>
  <c r="I6" i="5"/>
  <c r="J6" i="5"/>
  <c r="K6" i="5"/>
  <c r="L6" i="5"/>
  <c r="C6" i="5"/>
  <c r="L3" i="5"/>
  <c r="D3" i="5"/>
  <c r="E3" i="5"/>
  <c r="F3" i="5"/>
  <c r="G3" i="5"/>
  <c r="H3" i="5"/>
  <c r="I3" i="5"/>
  <c r="J3" i="5"/>
  <c r="K3" i="5"/>
  <c r="C3" i="5"/>
  <c r="B2" i="5"/>
  <c r="H59" i="5" l="1"/>
  <c r="G9" i="10"/>
  <c r="F9" i="10"/>
  <c r="E9" i="10"/>
  <c r="K10" i="5"/>
  <c r="L98" i="5"/>
  <c r="I98" i="5"/>
  <c r="I10" i="5"/>
  <c r="F22" i="5"/>
  <c r="C59" i="5"/>
  <c r="K98" i="5"/>
  <c r="E84" i="5"/>
  <c r="E40" i="10" s="1"/>
  <c r="F84" i="5"/>
  <c r="F40" i="10" s="1"/>
  <c r="J84" i="5"/>
  <c r="J40" i="10" s="1"/>
  <c r="G98" i="5"/>
  <c r="H98" i="5"/>
  <c r="F98" i="5"/>
  <c r="I84" i="5"/>
  <c r="I40" i="10" s="1"/>
  <c r="D84" i="5"/>
  <c r="D38" i="10" s="1"/>
  <c r="E98" i="5"/>
  <c r="D98" i="5"/>
  <c r="G84" i="5"/>
  <c r="G38" i="10" s="1"/>
  <c r="H84" i="5"/>
  <c r="C40" i="10"/>
  <c r="J98" i="5"/>
  <c r="L84" i="5"/>
  <c r="L40" i="10" s="1"/>
  <c r="K84" i="5"/>
  <c r="K40" i="10" s="1"/>
  <c r="C98" i="5"/>
  <c r="J30" i="10"/>
  <c r="J28" i="10"/>
  <c r="J34" i="10" s="1"/>
  <c r="J31" i="10"/>
  <c r="J29" i="10"/>
  <c r="J35" i="10" s="1"/>
  <c r="J27" i="10"/>
  <c r="J33" i="10" s="1"/>
  <c r="I30" i="10"/>
  <c r="I28" i="10"/>
  <c r="I34" i="10" s="1"/>
  <c r="I31" i="10"/>
  <c r="I29" i="10"/>
  <c r="I35" i="10" s="1"/>
  <c r="I27" i="10"/>
  <c r="I33" i="10" s="1"/>
  <c r="H29" i="10"/>
  <c r="H35" i="10" s="1"/>
  <c r="H30" i="10"/>
  <c r="H27" i="10"/>
  <c r="H33" i="10" s="1"/>
  <c r="H28" i="10"/>
  <c r="H34" i="10" s="1"/>
  <c r="H31" i="10"/>
  <c r="J108" i="5"/>
  <c r="G108" i="5"/>
  <c r="G7" i="5"/>
  <c r="G5" i="10" s="1"/>
  <c r="G29" i="10"/>
  <c r="G35" i="10" s="1"/>
  <c r="G27" i="10"/>
  <c r="G33" i="10" s="1"/>
  <c r="G30" i="10"/>
  <c r="G28" i="10"/>
  <c r="G34" i="10" s="1"/>
  <c r="G31" i="10"/>
  <c r="L108" i="5"/>
  <c r="I108" i="5"/>
  <c r="F108" i="5"/>
  <c r="F7" i="5"/>
  <c r="F5" i="10" s="1"/>
  <c r="F29" i="10"/>
  <c r="F35" i="10" s="1"/>
  <c r="F31" i="10"/>
  <c r="F27" i="10"/>
  <c r="F33" i="10" s="1"/>
  <c r="F30" i="10"/>
  <c r="F28" i="10"/>
  <c r="F34" i="10" s="1"/>
  <c r="K108" i="5"/>
  <c r="H108" i="5"/>
  <c r="E108" i="5"/>
  <c r="E28" i="10"/>
  <c r="E34" i="10" s="1"/>
  <c r="E29" i="10"/>
  <c r="E35" i="10" s="1"/>
  <c r="E31" i="10"/>
  <c r="E27" i="10"/>
  <c r="E33" i="10" s="1"/>
  <c r="E30" i="10"/>
  <c r="D108" i="5"/>
  <c r="D28" i="10"/>
  <c r="D34" i="10" s="1"/>
  <c r="D29" i="10"/>
  <c r="D35" i="10" s="1"/>
  <c r="D31" i="10"/>
  <c r="D27" i="10"/>
  <c r="D33" i="10" s="1"/>
  <c r="D30" i="10"/>
  <c r="L64" i="5"/>
  <c r="D59" i="5"/>
  <c r="K64" i="5"/>
  <c r="C30" i="10"/>
  <c r="C29" i="10"/>
  <c r="C28" i="10"/>
  <c r="C31" i="10"/>
  <c r="C27" i="10"/>
  <c r="E16" i="5"/>
  <c r="E17" i="10" s="1"/>
  <c r="D9" i="10"/>
  <c r="L59" i="5"/>
  <c r="J64" i="5"/>
  <c r="L25" i="5"/>
  <c r="L18" i="10" s="1"/>
  <c r="L31" i="10"/>
  <c r="L27" i="10"/>
  <c r="L33" i="10" s="1"/>
  <c r="L28" i="10"/>
  <c r="L34" i="10" s="1"/>
  <c r="L30" i="10"/>
  <c r="L29" i="10"/>
  <c r="L35" i="10" s="1"/>
  <c r="H22" i="5"/>
  <c r="K59" i="5"/>
  <c r="K66" i="5" s="1"/>
  <c r="K68" i="5" s="1"/>
  <c r="D64" i="5"/>
  <c r="K30" i="10"/>
  <c r="K31" i="10"/>
  <c r="K28" i="10"/>
  <c r="K34" i="10" s="1"/>
  <c r="K29" i="10"/>
  <c r="K35" i="10" s="1"/>
  <c r="K27" i="10"/>
  <c r="K33" i="10" s="1"/>
  <c r="J59" i="5"/>
  <c r="L18" i="11"/>
  <c r="G18" i="11"/>
  <c r="H64" i="5"/>
  <c r="H66" i="5" s="1"/>
  <c r="H68" i="5" s="1"/>
  <c r="F64" i="5"/>
  <c r="E64" i="5"/>
  <c r="F59" i="5"/>
  <c r="E59" i="5"/>
  <c r="G59" i="5"/>
  <c r="I64" i="5"/>
  <c r="I59" i="5"/>
  <c r="G64" i="5"/>
  <c r="C64" i="5"/>
  <c r="F10" i="5"/>
  <c r="D22" i="5"/>
  <c r="E10" i="5"/>
  <c r="E7" i="5"/>
  <c r="E5" i="10" s="1"/>
  <c r="D10" i="5"/>
  <c r="K7" i="5"/>
  <c r="K5" i="10" s="1"/>
  <c r="J10" i="5"/>
  <c r="I16" i="5"/>
  <c r="I17" i="10" s="1"/>
  <c r="L16" i="5"/>
  <c r="L17" i="10" s="1"/>
  <c r="D25" i="5"/>
  <c r="D18" i="10" s="1"/>
  <c r="L22" i="5"/>
  <c r="J25" i="5"/>
  <c r="J18" i="10" s="1"/>
  <c r="J16" i="5"/>
  <c r="J17" i="10" s="1"/>
  <c r="K25" i="5"/>
  <c r="K18" i="10" s="1"/>
  <c r="C16" i="5"/>
  <c r="C17" i="10" s="1"/>
  <c r="K22" i="5"/>
  <c r="I25" i="5"/>
  <c r="I18" i="10" s="1"/>
  <c r="H16" i="5"/>
  <c r="H17" i="10" s="1"/>
  <c r="K16" i="5"/>
  <c r="K17" i="10" s="1"/>
  <c r="C10" i="5"/>
  <c r="J22" i="5"/>
  <c r="D16" i="5"/>
  <c r="D17" i="10" s="1"/>
  <c r="I22" i="5"/>
  <c r="G25" i="5"/>
  <c r="G18" i="10" s="1"/>
  <c r="F25" i="5"/>
  <c r="F18" i="10" s="1"/>
  <c r="G16" i="5"/>
  <c r="G17" i="10" s="1"/>
  <c r="G22" i="5"/>
  <c r="H25" i="5"/>
  <c r="H18" i="10" s="1"/>
  <c r="C25" i="5"/>
  <c r="C18" i="10" s="1"/>
  <c r="E25" i="5"/>
  <c r="E18" i="10" s="1"/>
  <c r="F16" i="5"/>
  <c r="F17" i="10" s="1"/>
  <c r="M25" i="5"/>
  <c r="M22" i="5"/>
  <c r="M16" i="5"/>
  <c r="M10" i="5"/>
  <c r="C22" i="5"/>
  <c r="H7" i="5"/>
  <c r="H5" i="10" s="1"/>
  <c r="J12" i="5"/>
  <c r="I12" i="5"/>
  <c r="D7" i="5"/>
  <c r="D5" i="10" s="1"/>
  <c r="H12" i="5"/>
  <c r="H13" i="5" s="1"/>
  <c r="H11" i="10" s="1"/>
  <c r="G12" i="5"/>
  <c r="G13" i="5" s="1"/>
  <c r="G11" i="10" s="1"/>
  <c r="D12" i="5"/>
  <c r="D13" i="5" s="1"/>
  <c r="D11" i="10" s="1"/>
  <c r="C12" i="5"/>
  <c r="C13" i="5" s="1"/>
  <c r="C11" i="10" s="1"/>
  <c r="M7" i="5"/>
  <c r="F12" i="5"/>
  <c r="F13" i="5" s="1"/>
  <c r="F11" i="10" s="1"/>
  <c r="E12" i="5"/>
  <c r="E13" i="5" s="1"/>
  <c r="E11" i="10" s="1"/>
  <c r="L12" i="5"/>
  <c r="L13" i="5" s="1"/>
  <c r="L11" i="10" s="1"/>
  <c r="L7" i="5"/>
  <c r="L5" i="10" s="1"/>
  <c r="J7" i="5"/>
  <c r="J5" i="10" s="1"/>
  <c r="M12" i="5"/>
  <c r="M13" i="5" s="1"/>
  <c r="K12" i="5"/>
  <c r="K13" i="5" s="1"/>
  <c r="K11" i="10" s="1"/>
  <c r="I7" i="5"/>
  <c r="I5" i="10" s="1"/>
  <c r="B6" i="8"/>
  <c r="E1" i="8"/>
  <c r="G36" i="10" l="1"/>
  <c r="J66" i="5"/>
  <c r="J68" i="5" s="1"/>
  <c r="E38" i="10"/>
  <c r="J38" i="10"/>
  <c r="F38" i="10"/>
  <c r="E66" i="5"/>
  <c r="F36" i="10"/>
  <c r="F66" i="5"/>
  <c r="F68" i="5" s="1"/>
  <c r="L38" i="10"/>
  <c r="F110" i="5"/>
  <c r="E36" i="10"/>
  <c r="K36" i="10"/>
  <c r="L66" i="5"/>
  <c r="L68" i="5" s="1"/>
  <c r="I110" i="5"/>
  <c r="I38" i="10"/>
  <c r="C66" i="5"/>
  <c r="C68" i="5" s="1"/>
  <c r="L110" i="5"/>
  <c r="H39" i="10"/>
  <c r="G40" i="10"/>
  <c r="C38" i="10"/>
  <c r="H110" i="5"/>
  <c r="H38" i="10"/>
  <c r="H40" i="10"/>
  <c r="J110" i="5"/>
  <c r="K38" i="10"/>
  <c r="K110" i="5"/>
  <c r="D110" i="5"/>
  <c r="D40" i="10"/>
  <c r="G110" i="5"/>
  <c r="E110" i="5"/>
  <c r="E68" i="5"/>
  <c r="E39" i="10"/>
  <c r="N9" i="10"/>
  <c r="O9" i="10"/>
  <c r="I66" i="5"/>
  <c r="O18" i="10"/>
  <c r="N18" i="10"/>
  <c r="G66" i="5"/>
  <c r="C33" i="10"/>
  <c r="O27" i="10"/>
  <c r="N27" i="10"/>
  <c r="O5" i="10"/>
  <c r="N5" i="10"/>
  <c r="O31" i="10"/>
  <c r="N31" i="10"/>
  <c r="D36" i="10"/>
  <c r="I36" i="10"/>
  <c r="K39" i="10"/>
  <c r="N17" i="10"/>
  <c r="O17" i="10"/>
  <c r="C34" i="10"/>
  <c r="O28" i="10"/>
  <c r="N28" i="10"/>
  <c r="C35" i="10"/>
  <c r="O29" i="10"/>
  <c r="N29" i="10"/>
  <c r="L36" i="10"/>
  <c r="O30" i="10"/>
  <c r="N30" i="10"/>
  <c r="D66" i="5"/>
  <c r="H36" i="10"/>
  <c r="J36" i="10"/>
  <c r="I18" i="5"/>
  <c r="I13" i="5"/>
  <c r="I11" i="10" s="1"/>
  <c r="J18" i="5"/>
  <c r="J13" i="5"/>
  <c r="J11" i="10" s="1"/>
  <c r="J27" i="5"/>
  <c r="L18" i="5"/>
  <c r="E18" i="5"/>
  <c r="G18" i="5"/>
  <c r="F18" i="5"/>
  <c r="K18" i="5"/>
  <c r="M18" i="5"/>
  <c r="M19" i="5" s="1"/>
  <c r="H18" i="5"/>
  <c r="D18" i="5"/>
  <c r="C18" i="5"/>
  <c r="O11" i="10" l="1"/>
  <c r="J39" i="10"/>
  <c r="F39" i="10"/>
  <c r="L39" i="10"/>
  <c r="N40" i="10"/>
  <c r="I4" i="11" a="1"/>
  <c r="I4" i="11" s="1"/>
  <c r="C39" i="10"/>
  <c r="N11" i="10"/>
  <c r="N38" i="10"/>
  <c r="O40" i="10"/>
  <c r="O38" i="10"/>
  <c r="K19" i="5"/>
  <c r="K12" i="10" s="1"/>
  <c r="K6" i="10"/>
  <c r="K21" i="10"/>
  <c r="K25" i="10"/>
  <c r="K13" i="10"/>
  <c r="K19" i="10" s="1"/>
  <c r="I68" i="5"/>
  <c r="I39" i="10"/>
  <c r="F19" i="5"/>
  <c r="F12" i="10" s="1"/>
  <c r="F21" i="10"/>
  <c r="F25" i="10"/>
  <c r="F6" i="10"/>
  <c r="F13" i="10"/>
  <c r="F19" i="10" s="1"/>
  <c r="G19" i="5"/>
  <c r="G12" i="10" s="1"/>
  <c r="G21" i="10"/>
  <c r="G25" i="10"/>
  <c r="G6" i="10"/>
  <c r="G13" i="10"/>
  <c r="G19" i="10" s="1"/>
  <c r="E19" i="5"/>
  <c r="E12" i="10" s="1"/>
  <c r="E21" i="10"/>
  <c r="E6" i="10"/>
  <c r="E25" i="10"/>
  <c r="E13" i="10"/>
  <c r="E19" i="10" s="1"/>
  <c r="O35" i="10"/>
  <c r="N35" i="10"/>
  <c r="L19" i="5"/>
  <c r="L12" i="10" s="1"/>
  <c r="L6" i="10"/>
  <c r="L21" i="10"/>
  <c r="L25" i="10"/>
  <c r="L13" i="10"/>
  <c r="L19" i="10" s="1"/>
  <c r="J19" i="5"/>
  <c r="J12" i="10" s="1"/>
  <c r="J13" i="10"/>
  <c r="J19" i="10" s="1"/>
  <c r="J6" i="10"/>
  <c r="J21" i="10"/>
  <c r="J25" i="10"/>
  <c r="O34" i="10"/>
  <c r="N34" i="10"/>
  <c r="C19" i="5"/>
  <c r="C12" i="10" s="1"/>
  <c r="C21" i="10"/>
  <c r="C13" i="10"/>
  <c r="C25" i="10"/>
  <c r="C36" i="10"/>
  <c r="O33" i="10"/>
  <c r="N33" i="10"/>
  <c r="D19" i="5"/>
  <c r="D12" i="10" s="1"/>
  <c r="D25" i="10"/>
  <c r="D13" i="10"/>
  <c r="D19" i="10" s="1"/>
  <c r="D6" i="10"/>
  <c r="D21" i="10"/>
  <c r="I19" i="5"/>
  <c r="I12" i="10" s="1"/>
  <c r="I13" i="10"/>
  <c r="I19" i="10" s="1"/>
  <c r="I6" i="10"/>
  <c r="I21" i="10"/>
  <c r="I25" i="10"/>
  <c r="D68" i="5"/>
  <c r="D39" i="10"/>
  <c r="G68" i="5"/>
  <c r="G39" i="10"/>
  <c r="H19" i="5"/>
  <c r="H12" i="10" s="1"/>
  <c r="H13" i="10"/>
  <c r="H19" i="10" s="1"/>
  <c r="H6" i="10"/>
  <c r="H21" i="10"/>
  <c r="H25" i="10"/>
  <c r="J33" i="5"/>
  <c r="J28" i="5"/>
  <c r="J14" i="10" s="1"/>
  <c r="J31" i="5"/>
  <c r="I27" i="5"/>
  <c r="M27" i="5"/>
  <c r="K27" i="5"/>
  <c r="K7" i="10" s="1"/>
  <c r="F27" i="5"/>
  <c r="C27" i="5"/>
  <c r="G27" i="5"/>
  <c r="D27" i="5"/>
  <c r="E27" i="5"/>
  <c r="H27" i="5"/>
  <c r="L27" i="5"/>
  <c r="H7" i="10" l="1"/>
  <c r="E7" i="10"/>
  <c r="F7" i="10"/>
  <c r="I12" i="11"/>
  <c r="I11" i="11"/>
  <c r="I9" i="11"/>
  <c r="I8" i="11"/>
  <c r="I13" i="11"/>
  <c r="I10" i="11"/>
  <c r="J10" i="11" s="1"/>
  <c r="I7" i="11"/>
  <c r="I6" i="11"/>
  <c r="I5" i="11"/>
  <c r="J5" i="11" s="1"/>
  <c r="I7" i="10"/>
  <c r="O39" i="10"/>
  <c r="N39" i="10"/>
  <c r="N36" i="10"/>
  <c r="O36" i="10"/>
  <c r="N25" i="10"/>
  <c r="O25" i="10"/>
  <c r="J7" i="10"/>
  <c r="L7" i="10"/>
  <c r="J23" i="10"/>
  <c r="C19" i="10"/>
  <c r="O13" i="10"/>
  <c r="N13" i="10"/>
  <c r="N21" i="10"/>
  <c r="O21" i="10"/>
  <c r="D7" i="10"/>
  <c r="O12" i="10"/>
  <c r="N12" i="10"/>
  <c r="G7" i="10"/>
  <c r="O6" i="10"/>
  <c r="N6" i="10"/>
  <c r="L28" i="5"/>
  <c r="L14" i="10" s="1"/>
  <c r="L33" i="5"/>
  <c r="L31" i="5"/>
  <c r="J38" i="5"/>
  <c r="J34" i="5"/>
  <c r="J15" i="10" s="1"/>
  <c r="H28" i="5"/>
  <c r="H14" i="10" s="1"/>
  <c r="H33" i="5"/>
  <c r="H31" i="5"/>
  <c r="E28" i="5"/>
  <c r="E14" i="10" s="1"/>
  <c r="E33" i="5"/>
  <c r="E31" i="5"/>
  <c r="D28" i="5"/>
  <c r="D14" i="10" s="1"/>
  <c r="D33" i="5"/>
  <c r="D31" i="5"/>
  <c r="G28" i="5"/>
  <c r="G14" i="10" s="1"/>
  <c r="G33" i="5"/>
  <c r="G31" i="5"/>
  <c r="C28" i="5"/>
  <c r="C14" i="10" s="1"/>
  <c r="C33" i="5"/>
  <c r="C31" i="5"/>
  <c r="F28" i="5"/>
  <c r="F14" i="10" s="1"/>
  <c r="F33" i="5"/>
  <c r="F31" i="5"/>
  <c r="K28" i="5"/>
  <c r="K14" i="10" s="1"/>
  <c r="K33" i="5"/>
  <c r="K31" i="5"/>
  <c r="M28" i="5"/>
  <c r="M33" i="5"/>
  <c r="M34" i="5" s="1"/>
  <c r="M31" i="5"/>
  <c r="I33" i="5"/>
  <c r="J8" i="10" s="1"/>
  <c r="I28" i="5"/>
  <c r="I14" i="10" s="1"/>
  <c r="I31" i="5"/>
  <c r="J13" i="11" l="1"/>
  <c r="J6" i="11"/>
  <c r="J7" i="11"/>
  <c r="I14" i="11"/>
  <c r="J14" i="11" s="1"/>
  <c r="J8" i="11"/>
  <c r="J9" i="11"/>
  <c r="J12" i="11"/>
  <c r="I18" i="11"/>
  <c r="I17" i="11"/>
  <c r="I16" i="11"/>
  <c r="I15" i="11"/>
  <c r="J15" i="11" s="1"/>
  <c r="J11" i="11"/>
  <c r="O19" i="10"/>
  <c r="N19" i="10"/>
  <c r="C38" i="5"/>
  <c r="C23" i="10"/>
  <c r="I23" i="10"/>
  <c r="I8" i="10"/>
  <c r="K23" i="10"/>
  <c r="K8" i="10"/>
  <c r="D8" i="10"/>
  <c r="D23" i="10"/>
  <c r="H8" i="10"/>
  <c r="H23" i="10"/>
  <c r="N7" i="10"/>
  <c r="O7" i="10"/>
  <c r="O14" i="10"/>
  <c r="N14" i="10"/>
  <c r="G8" i="10"/>
  <c r="G23" i="10"/>
  <c r="L23" i="10"/>
  <c r="L8" i="10"/>
  <c r="F8" i="10"/>
  <c r="F23" i="10"/>
  <c r="E8" i="10"/>
  <c r="E23" i="10"/>
  <c r="J42" i="5"/>
  <c r="J44" i="5" s="1"/>
  <c r="J22" i="10" s="1"/>
  <c r="J24" i="10" s="1"/>
  <c r="K38" i="5"/>
  <c r="K34" i="5"/>
  <c r="K15" i="10" s="1"/>
  <c r="D38" i="5"/>
  <c r="D34" i="5"/>
  <c r="D15" i="10" s="1"/>
  <c r="F38" i="5"/>
  <c r="F34" i="5"/>
  <c r="F15" i="10" s="1"/>
  <c r="E38" i="5"/>
  <c r="E34" i="5"/>
  <c r="E15" i="10" s="1"/>
  <c r="C34" i="5"/>
  <c r="C15" i="10" s="1"/>
  <c r="H34" i="5"/>
  <c r="H15" i="10" s="1"/>
  <c r="H38" i="5"/>
  <c r="I34" i="5"/>
  <c r="I15" i="10" s="1"/>
  <c r="I38" i="5"/>
  <c r="G34" i="5"/>
  <c r="G15" i="10" s="1"/>
  <c r="G38" i="5"/>
  <c r="L38" i="5"/>
  <c r="L34" i="5"/>
  <c r="L15" i="10" s="1"/>
  <c r="J16" i="11" l="1"/>
  <c r="J17" i="11"/>
  <c r="J18" i="11"/>
  <c r="N4" i="11" a="1"/>
  <c r="N8" i="10"/>
  <c r="O8" i="10"/>
  <c r="N23" i="10"/>
  <c r="O23" i="10"/>
  <c r="C42" i="5"/>
  <c r="C44" i="5" s="1"/>
  <c r="C22" i="10" s="1"/>
  <c r="N15" i="10"/>
  <c r="O15" i="10"/>
  <c r="G39" i="5"/>
  <c r="G42" i="5"/>
  <c r="G44" i="5" s="1"/>
  <c r="G22" i="10" s="1"/>
  <c r="G24" i="10" s="1"/>
  <c r="K39" i="5"/>
  <c r="K42" i="5"/>
  <c r="K44" i="5" s="1"/>
  <c r="K22" i="10" s="1"/>
  <c r="K24" i="10" s="1"/>
  <c r="H44" i="5"/>
  <c r="H22" i="10" s="1"/>
  <c r="H24" i="10" s="1"/>
  <c r="H42" i="5"/>
  <c r="H39" i="5"/>
  <c r="E39" i="5"/>
  <c r="E42" i="5"/>
  <c r="E44" i="5" s="1"/>
  <c r="E22" i="10" s="1"/>
  <c r="E24" i="10" s="1"/>
  <c r="F39" i="5"/>
  <c r="F42" i="5"/>
  <c r="F44" i="5" s="1"/>
  <c r="F22" i="10" s="1"/>
  <c r="F24" i="10" s="1"/>
  <c r="L42" i="5"/>
  <c r="L44" i="5" s="1"/>
  <c r="L22" i="10" s="1"/>
  <c r="L24" i="10" s="1"/>
  <c r="L39" i="5"/>
  <c r="D39" i="5"/>
  <c r="D42" i="5"/>
  <c r="D44" i="5" s="1"/>
  <c r="D22" i="10" s="1"/>
  <c r="D24" i="10" s="1"/>
  <c r="I39" i="5"/>
  <c r="I42" i="5"/>
  <c r="I44" i="5" s="1"/>
  <c r="I22" i="10" s="1"/>
  <c r="I24" i="10" s="1"/>
  <c r="J39" i="5"/>
  <c r="N13" i="11" l="1"/>
  <c r="N11" i="11"/>
  <c r="N8" i="11"/>
  <c r="N12" i="11"/>
  <c r="N10" i="11"/>
  <c r="N9" i="11"/>
  <c r="N7" i="11"/>
  <c r="N6" i="11"/>
  <c r="N5" i="11"/>
  <c r="N4" i="11"/>
  <c r="C24" i="10"/>
  <c r="N22" i="10"/>
  <c r="O22" i="10"/>
  <c r="O9" i="11" l="1"/>
  <c r="O12" i="11"/>
  <c r="O13" i="11"/>
  <c r="N18" i="11"/>
  <c r="N14" i="11"/>
  <c r="O14" i="11" s="1"/>
  <c r="N15" i="11"/>
  <c r="O15" i="11" s="1"/>
  <c r="N16" i="11"/>
  <c r="N17" i="11"/>
  <c r="O5" i="11"/>
  <c r="O6" i="11"/>
  <c r="O7" i="11"/>
  <c r="O10" i="11"/>
  <c r="O8" i="11"/>
  <c r="O11" i="11"/>
  <c r="N24" i="10"/>
  <c r="O24" i="10"/>
  <c r="O16" i="11" l="1"/>
  <c r="O17" i="11"/>
  <c r="O18" i="11"/>
</calcChain>
</file>

<file path=xl/sharedStrings.xml><?xml version="1.0" encoding="utf-8"?>
<sst xmlns="http://schemas.openxmlformats.org/spreadsheetml/2006/main" count="234" uniqueCount="164">
  <si>
    <t>COGS</t>
  </si>
  <si>
    <t>EBITDA</t>
  </si>
  <si>
    <t>Depreciation % Sales</t>
  </si>
  <si>
    <t>Interest</t>
  </si>
  <si>
    <t xml:space="preserve"> </t>
  </si>
  <si>
    <t>#</t>
  </si>
  <si>
    <t>Total</t>
  </si>
  <si>
    <t>Gross Profit</t>
  </si>
  <si>
    <t>COMPANY NAME</t>
  </si>
  <si>
    <t>HINDUSTAN UNILEVER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</si>
  <si>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</si>
  <si>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</si>
  <si>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</si>
  <si>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</si>
  <si>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</si>
  <si>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</si>
  <si>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</si>
  <si>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</si>
  <si>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</si>
  <si>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</si>
  <si>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</si>
  <si>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</si>
  <si>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</si>
  <si>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</si>
  <si>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</si>
  <si>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</si>
  <si>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</si>
  <si>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</si>
  <si>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</si>
  <si>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</si>
  <si>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</si>
  <si>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</si>
  <si>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</si>
  <si>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</si>
  <si>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</si>
  <si>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</si>
  <si>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</si>
  <si>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</si>
  <si>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</si>
  <si>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</si>
  <si>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</si>
  <si>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</si>
  <si>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</si>
  <si>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</si>
  <si>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</si>
  <si>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</si>
  <si>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</si>
  <si>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</si>
  <si>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</si>
  <si>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</si>
  <si>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</si>
  <si>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</si>
  <si>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</si>
  <si>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</si>
  <si>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</si>
  <si>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</si>
  <si>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</si>
  <si>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</si>
  <si>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</si>
  <si>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</si>
  <si>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LTM</t>
  </si>
  <si>
    <t>Years</t>
  </si>
  <si>
    <t>Income Statement</t>
  </si>
  <si>
    <t xml:space="preserve">sales growth </t>
  </si>
  <si>
    <t>-</t>
  </si>
  <si>
    <t>COGS % sales</t>
  </si>
  <si>
    <t>S&amp;G EXP % Sales</t>
  </si>
  <si>
    <t>EBITDA Margins</t>
  </si>
  <si>
    <t>Interest % Sales</t>
  </si>
  <si>
    <t xml:space="preserve">Depreciation </t>
  </si>
  <si>
    <t>Gross Margins</t>
  </si>
  <si>
    <t xml:space="preserve">Earnings Before Tax </t>
  </si>
  <si>
    <t>EBT % Sales</t>
  </si>
  <si>
    <t>Effective Tax Rate</t>
  </si>
  <si>
    <t xml:space="preserve">Profit After Tax </t>
  </si>
  <si>
    <t>Net Margins</t>
  </si>
  <si>
    <t>No. of equity shares</t>
  </si>
  <si>
    <t xml:space="preserve">Selling &amp; General exp </t>
  </si>
  <si>
    <t>Dividend Per Share</t>
  </si>
  <si>
    <t xml:space="preserve">Earnings Per Share 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</si>
  <si>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</si>
  <si>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</si>
  <si>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</si>
  <si>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</si>
  <si>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</si>
  <si>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</si>
  <si>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</si>
  <si>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</si>
  <si>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</si>
  <si>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</si>
  <si>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</si>
  <si>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</si>
  <si>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</si>
  <si>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</si>
  <si>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</si>
  <si>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</si>
  <si>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</si>
  <si>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</si>
  <si>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</si>
  <si>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</si>
  <si>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</si>
  <si>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</si>
  <si>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Redemp n Canc of Shares</t>
  </si>
  <si>
    <t>Acquisition of companies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</si>
  <si>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</si>
  <si>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</si>
  <si>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</si>
  <si>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</si>
  <si>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</si>
  <si>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</si>
  <si>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</si>
  <si>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</si>
  <si>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</si>
  <si>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</si>
  <si>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</si>
  <si>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</t>
  </si>
  <si>
    <t xml:space="preserve"> Operating Activities</t>
  </si>
  <si>
    <t>Cash from Operating Activities</t>
  </si>
  <si>
    <t xml:space="preserve">Investing Activities </t>
  </si>
  <si>
    <t>Cash from Investing Activities</t>
  </si>
  <si>
    <t>Cash from Financing Activities</t>
  </si>
  <si>
    <t>Financing Activities</t>
  </si>
  <si>
    <t>SalesGrowth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</si>
  <si>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</si>
  <si>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</si>
  <si>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</si>
  <si>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</si>
  <si>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</si>
  <si>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</si>
  <si>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</si>
  <si>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</si>
  <si>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</si>
  <si>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</si>
  <si>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</si>
  <si>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</si>
  <si>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</si>
  <si>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</si>
  <si>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</si>
  <si>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</si>
  <si>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</si>
  <si>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</si>
  <si>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</si>
  <si>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</si>
  <si>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</si>
  <si>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</si>
  <si>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</si>
  <si>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</si>
  <si>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</si>
  <si>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</si>
  <si>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</si>
  <si>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</si>
  <si>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</si>
  <si>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Mean</t>
  </si>
  <si>
    <t>Median</t>
  </si>
  <si>
    <t>Trends</t>
  </si>
  <si>
    <t>Year Weight</t>
  </si>
  <si>
    <t>Year</t>
  </si>
  <si>
    <t>Sales Growth</t>
  </si>
  <si>
    <t xml:space="preserve">  </t>
  </si>
  <si>
    <t>Operating Deposits</t>
  </si>
  <si>
    <t>Other operating items</t>
  </si>
  <si>
    <t>Exceptional CF items</t>
  </si>
  <si>
    <t>Invest in subsidiaries</t>
  </si>
  <si>
    <t>Loans to subsidiaries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</si>
</sst>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&quot;₹&quot;\ \(#,##0.0\);\-"/>
    <numFmt numFmtId="167" formatCode="&quot;₹&quot;\ #,##0.00"/>
    <numFmt numFmtId="168" formatCode="&quot;₹&quot;\ #,##0.0;\(&quot;₹&quot;\ #,##0.0\);\-"/>
    <numFmt numFmtId="169" formatCode="&quot;₹&quot;\ #,##0.00;\(&quot;₹&quot;\ #,##0.00\);\-"/>
    <numFmt numFmtId="170" formatCode="0.00&quot;X&quot;"/>
    <numFmt numFmtId="171" formatCode="yyyy"/>
    <numFmt numFmtId="172" formatCode="yyyy&quot;A&quot;"/>
    <numFmt numFmtId="173" formatCode="yyyy&quot;E&quot;"/>
    <numFmt numFmtId="17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Calibri"/>
      <family val="2"/>
      <scheme val="minor"/>
    </font>
    <font>
      <b/>
      <sz val="11"/>
      <color rgb="FF22222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dashed">
        <color rgb="FF002060"/>
      </top>
      <bottom/>
      <diagonal/>
    </border>
    <border>
      <left/>
      <right/>
      <top/>
      <bottom style="dashed">
        <color rgb="FF00206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/>
  </cellStyleXfs>
  <cellXfs count="69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2" borderId="0" xfId="0" applyFill="1"/>
    <xf numFmtId="0" fontId="3" fillId="0" borderId="0" xfId="0" applyFont="1"/>
    <xf numFmtId="0" fontId="2" fillId="2" borderId="0" xfId="0" applyFont="1" applyFill="1"/>
    <xf numFmtId="0" fontId="5" fillId="3" borderId="0" xfId="0" applyFont="1" applyFill="1"/>
    <xf numFmtId="43" fontId="2" fillId="0" borderId="0" xfId="2" applyFont="1" applyBorder="1"/>
    <xf numFmtId="43" fontId="0" fillId="0" borderId="0" xfId="2" applyFont="1" applyBorder="1"/>
    <xf numFmtId="164" fontId="5" fillId="5" borderId="0" xfId="2" applyNumberFormat="1" applyFont="1" applyFill="1" applyBorder="1"/>
    <xf numFmtId="164" fontId="5" fillId="5" borderId="0" xfId="0" applyNumberFormat="1" applyFont="1" applyFill="1" applyAlignment="1">
      <alignment horizontal="center"/>
    </xf>
    <xf numFmtId="164" fontId="4" fillId="0" borderId="0" xfId="2" applyNumberFormat="1" applyFont="1" applyFill="1" applyBorder="1"/>
    <xf numFmtId="43" fontId="1" fillId="0" borderId="0" xfId="2" applyFont="1" applyBorder="1"/>
    <xf numFmtId="165" fontId="0" fillId="0" borderId="0" xfId="2" applyNumberFormat="1" applyFont="1" applyBorder="1"/>
    <xf numFmtId="17" fontId="5" fillId="3" borderId="0" xfId="0" applyNumberFormat="1" applyFont="1" applyFill="1"/>
    <xf numFmtId="17" fontId="5" fillId="3" borderId="0" xfId="0" applyNumberFormat="1" applyFont="1" applyFill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10" fontId="8" fillId="0" borderId="0" xfId="1" applyNumberFormat="1" applyFont="1"/>
    <xf numFmtId="166" fontId="0" fillId="0" borderId="0" xfId="0" applyNumberFormat="1" applyAlignment="1">
      <alignment wrapText="1"/>
    </xf>
    <xf numFmtId="0" fontId="0" fillId="0" borderId="0" xfId="0" applyAlignment="1">
      <alignment wrapText="1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69" fontId="0" fillId="0" borderId="0" xfId="0" applyNumberFormat="1"/>
    <xf numFmtId="169" fontId="2" fillId="0" borderId="0" xfId="0" applyNumberFormat="1" applyFont="1"/>
    <xf numFmtId="0" fontId="10" fillId="6" borderId="0" xfId="0" applyFont="1" applyFill="1" applyAlignment="1">
      <alignment horizontal="left" vertical="center"/>
    </xf>
    <xf numFmtId="3" fontId="10" fillId="6" borderId="0" xfId="0" applyNumberFormat="1" applyFont="1" applyFill="1" applyAlignment="1">
      <alignment horizontal="right" vertical="center" wrapText="1"/>
    </xf>
    <xf numFmtId="0" fontId="10" fillId="6" borderId="0" xfId="0" applyFont="1" applyFill="1" applyAlignment="1">
      <alignment horizontal="right" vertical="center" wrapText="1"/>
    </xf>
    <xf numFmtId="17" fontId="0" fillId="0" borderId="0" xfId="0" applyNumberFormat="1"/>
    <xf numFmtId="3" fontId="0" fillId="0" borderId="0" xfId="0" applyNumberFormat="1"/>
    <xf numFmtId="0" fontId="9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43" fontId="2" fillId="0" borderId="1" xfId="2" applyFont="1" applyBorder="1"/>
    <xf numFmtId="43" fontId="2" fillId="0" borderId="1" xfId="2" applyFont="1" applyFill="1" applyBorder="1"/>
    <xf numFmtId="0" fontId="2" fillId="0" borderId="1" xfId="0" applyFont="1" applyBorder="1"/>
    <xf numFmtId="167" fontId="2" fillId="0" borderId="1" xfId="0" applyNumberFormat="1" applyFont="1" applyBorder="1"/>
    <xf numFmtId="168" fontId="2" fillId="0" borderId="1" xfId="0" applyNumberFormat="1" applyFont="1" applyBorder="1"/>
    <xf numFmtId="170" fontId="0" fillId="0" borderId="0" xfId="1" applyNumberFormat="1" applyFont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0" fontId="0" fillId="0" borderId="3" xfId="0" applyBorder="1"/>
    <xf numFmtId="10" fontId="0" fillId="0" borderId="3" xfId="1" applyNumberFormat="1" applyFont="1" applyBorder="1"/>
    <xf numFmtId="10" fontId="0" fillId="0" borderId="3" xfId="0" applyNumberFormat="1" applyBorder="1"/>
    <xf numFmtId="170" fontId="0" fillId="0" borderId="3" xfId="1" applyNumberFormat="1" applyFont="1" applyBorder="1"/>
    <xf numFmtId="170" fontId="0" fillId="0" borderId="2" xfId="1" applyNumberFormat="1" applyFont="1" applyBorder="1"/>
    <xf numFmtId="170" fontId="0" fillId="0" borderId="0" xfId="1" applyNumberFormat="1" applyFont="1" applyBorder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7" fontId="5" fillId="3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5" fillId="7" borderId="0" xfId="0" applyFont="1" applyFill="1" applyAlignment="1">
      <alignment horizontal="left"/>
    </xf>
    <xf numFmtId="0" fontId="5" fillId="7" borderId="0" xfId="0" applyFont="1" applyFill="1" applyAlignment="1">
      <alignment horizontal="right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4" fontId="0" fillId="0" borderId="0" xfId="0" applyNumberFormat="1"/>
    <xf numFmtId="0" fontId="0" fillId="8" borderId="0" xfId="0" applyFill="1" applyAlignment="1">
      <alignment horizontal="left"/>
    </xf>
    <xf numFmtId="173" fontId="0" fillId="8" borderId="0" xfId="0" applyNumberFormat="1" applyFill="1" applyAlignment="1">
      <alignment horizontal="right"/>
    </xf>
    <xf numFmtId="174" fontId="0" fillId="8" borderId="0" xfId="0" applyNumberFormat="1" applyFill="1"/>
    <xf numFmtId="10" fontId="0" fillId="8" borderId="0" xfId="1" applyNumberFormat="1" applyFont="1" applyFill="1"/>
    <xf numFmtId="168" fontId="0" fillId="0" borderId="1" xfId="0" applyNumberFormat="1" applyBorder="1"/>
    <xf numFmtId="168" fontId="2" fillId="0" borderId="0" xfId="0" applyNumberFormat="1" applyFont="1"/>
    <xf numFmtId="0" fontId="5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3" fontId="6" fillId="0" borderId="0" xfId="3" applyNumberFormat="1" applyBorder="1" applyAlignment="1" applyProtection="1">
      <alignment horizontal="center"/>
    </xf>
    <xf numFmtId="43" fontId="5" fillId="4" borderId="0" xfId="4" applyNumberFormat="1" applyFont="1" applyBorder="1" applyAlignment="1">
      <alignment horizontal="center"/>
    </xf>
  </cellXfs>
  <cellStyles count="5">
    <cellStyle name="Accent6 2" xfId="4" xr:uid="{BB0DE84F-241E-4597-804F-FFDAB40B7DAD}"/>
    <cellStyle name="Comma" xfId="2" builtinId="3"/>
    <cellStyle name="Hyperlink 2" xfId="3" xr:uid="{C4B878FC-E340-4A0D-857B-545AC47E955A}"/>
    <cellStyle name="Normal" xfId="0" builtinId="0"/>
    <cellStyle name="Percent" xfId="1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227C-03B6-4338-9430-AAB7B7318C09}">
  <sheetPr>
    <tabColor rgb="FF00206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4393-0DF4-43FE-BB77-E97C6417EC98}">
  <sheetPr>
    <tabColor theme="9" tint="-0.499984740745262"/>
    <pageSetUpPr autoPageBreaks="0"/>
  </sheetPr>
  <dimension ref="A1:N110"/>
  <sheetViews>
    <sheetView showGridLines="0" tabSelected="1" zoomScaleNormal="100" workbookViewId="0">
      <pane ySplit="4" topLeftCell="A5" activePane="bottomLeft" state="frozen"/>
      <selection pane="bottomLeft" activeCell="O105" sqref="O105"/>
    </sheetView>
  </sheetViews>
  <sheetFormatPr defaultRowHeight="14.4" x14ac:dyDescent="0.3"/>
  <cols>
    <col min="1" max="1" width="1.88671875" customWidth="1"/>
    <col min="2" max="2" width="31.109375" customWidth="1"/>
    <col min="3" max="14" width="12.77734375" customWidth="1"/>
  </cols>
  <sheetData>
    <row r="1" spans="1:14" x14ac:dyDescent="0.3">
      <c r="C1" t="s">
        <v>4</v>
      </c>
    </row>
    <row r="2" spans="1:14" x14ac:dyDescent="0.3">
      <c r="B2" s="65" t="str">
        <f>"Historical Financial Statement -"&amp; 'Data Sheet'!B1</f>
        <v>Historical Financial Statement -HINDUSTAN UNILEVER LTD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4" x14ac:dyDescent="0.3">
      <c r="B3" s="6" t="s">
        <v>61</v>
      </c>
      <c r="C3" s="14">
        <f>'Data Sheet'!B16</f>
        <v>42460</v>
      </c>
      <c r="D3" s="14">
        <f>'Data Sheet'!C16</f>
        <v>42825</v>
      </c>
      <c r="E3" s="14">
        <f>'Data Sheet'!D16</f>
        <v>43190</v>
      </c>
      <c r="F3" s="14">
        <f>'Data Sheet'!E16</f>
        <v>43555</v>
      </c>
      <c r="G3" s="14">
        <f>'Data Sheet'!F16</f>
        <v>43921</v>
      </c>
      <c r="H3" s="14">
        <f>'Data Sheet'!G16</f>
        <v>44286</v>
      </c>
      <c r="I3" s="14">
        <f>'Data Sheet'!H16</f>
        <v>44651</v>
      </c>
      <c r="J3" s="14">
        <f>'Data Sheet'!I16</f>
        <v>45016</v>
      </c>
      <c r="K3" s="14">
        <f>'Data Sheet'!J16</f>
        <v>45382</v>
      </c>
      <c r="L3" s="14">
        <f>'Data Sheet'!K16</f>
        <v>45747</v>
      </c>
      <c r="M3" s="15" t="s">
        <v>60</v>
      </c>
    </row>
    <row r="4" spans="1:14" x14ac:dyDescent="0.3">
      <c r="A4" t="s">
        <v>5</v>
      </c>
      <c r="B4" s="5" t="s">
        <v>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x14ac:dyDescent="0.3">
      <c r="B5" s="1"/>
    </row>
    <row r="6" spans="1:14" x14ac:dyDescent="0.3">
      <c r="B6" t="s">
        <v>20</v>
      </c>
      <c r="C6" s="19">
        <f>IFERROR('Data Sheet'!B17,0)</f>
        <v>32186</v>
      </c>
      <c r="D6" s="19">
        <f>IFERROR('Data Sheet'!C17,0)</f>
        <v>33162</v>
      </c>
      <c r="E6" s="19">
        <f>IFERROR('Data Sheet'!D17,0)</f>
        <v>35545</v>
      </c>
      <c r="F6" s="19">
        <f>IFERROR('Data Sheet'!E17,0)</f>
        <v>39310</v>
      </c>
      <c r="G6" s="19">
        <f>IFERROR('Data Sheet'!F17,0)</f>
        <v>39783</v>
      </c>
      <c r="H6" s="19">
        <f>IFERROR('Data Sheet'!G17,0)</f>
        <v>47028</v>
      </c>
      <c r="I6" s="19">
        <f>IFERROR('Data Sheet'!H17,0)</f>
        <v>52446</v>
      </c>
      <c r="J6" s="19">
        <f>IFERROR('Data Sheet'!I17,0)</f>
        <v>60580</v>
      </c>
      <c r="K6" s="19">
        <f>IFERROR('Data Sheet'!J17,0)</f>
        <v>61896</v>
      </c>
      <c r="L6" s="19">
        <f>IFERROR('Data Sheet'!K17,0)</f>
        <v>63121</v>
      </c>
      <c r="M6" s="19">
        <f>IFERROR(SUM('Data Sheet'!H42:K42),0)</f>
        <v>63928</v>
      </c>
      <c r="N6" s="20"/>
    </row>
    <row r="7" spans="1:14" x14ac:dyDescent="0.3">
      <c r="B7" s="16" t="s">
        <v>63</v>
      </c>
      <c r="C7" s="17" t="s">
        <v>64</v>
      </c>
      <c r="D7" s="18">
        <f>(D6/C6)-1</f>
        <v>3.03237432424035E-2</v>
      </c>
      <c r="E7" s="18">
        <f t="shared" ref="E7:M7" si="0">(E6/D6)-1</f>
        <v>7.1859357095470644E-2</v>
      </c>
      <c r="F7" s="18">
        <f t="shared" si="0"/>
        <v>0.1059220706147137</v>
      </c>
      <c r="G7" s="18">
        <f t="shared" si="0"/>
        <v>1.2032561689137689E-2</v>
      </c>
      <c r="H7" s="18">
        <f t="shared" si="0"/>
        <v>0.18211296282331646</v>
      </c>
      <c r="I7" s="18">
        <f t="shared" si="0"/>
        <v>0.11520796121459553</v>
      </c>
      <c r="J7" s="18">
        <f t="shared" si="0"/>
        <v>0.15509285741524614</v>
      </c>
      <c r="K7" s="18">
        <f t="shared" si="0"/>
        <v>2.1723341036645749E-2</v>
      </c>
      <c r="L7" s="18">
        <f t="shared" si="0"/>
        <v>1.9791262763344974E-2</v>
      </c>
      <c r="M7" s="18">
        <f t="shared" si="0"/>
        <v>1.2784968552462805E-2</v>
      </c>
    </row>
    <row r="9" spans="1:14" x14ac:dyDescent="0.3">
      <c r="B9" t="s">
        <v>0</v>
      </c>
      <c r="C9" s="19">
        <f>IFERROR(SUM('Data Sheet'!B18,'Data Sheet'!B20,'Data Sheet'!B21,'Data Sheet'!B22)-1*'Data Sheet'!B19,0)</f>
        <v>18222</v>
      </c>
      <c r="D9" s="19">
        <f>IFERROR(SUM('Data Sheet'!C18,'Data Sheet'!C20,'Data Sheet'!C21,'Data Sheet'!C22)-1*'Data Sheet'!C19,0)</f>
        <v>18675</v>
      </c>
      <c r="E9" s="19">
        <f>IFERROR(SUM('Data Sheet'!D18,'Data Sheet'!D20,'Data Sheet'!D21,'Data Sheet'!D22)-1*'Data Sheet'!D19,0)</f>
        <v>19314</v>
      </c>
      <c r="F9" s="19">
        <f>IFERROR(SUM('Data Sheet'!E18,'Data Sheet'!E20,'Data Sheet'!E21,'Data Sheet'!E22)-1*'Data Sheet'!E19,0)</f>
        <v>21081</v>
      </c>
      <c r="G9" s="19">
        <f>IFERROR(SUM('Data Sheet'!F18,'Data Sheet'!F20,'Data Sheet'!F21,'Data Sheet'!F22)-1*'Data Sheet'!F19,0)</f>
        <v>20614</v>
      </c>
      <c r="H9" s="19">
        <f>IFERROR(SUM('Data Sheet'!G18,'Data Sheet'!G20,'Data Sheet'!G21,'Data Sheet'!G22)-1*'Data Sheet'!G19,0)</f>
        <v>25301</v>
      </c>
      <c r="I9" s="19">
        <f>IFERROR(SUM('Data Sheet'!H18,'Data Sheet'!H20,'Data Sheet'!H21,'Data Sheet'!H22)-1*'Data Sheet'!H19,0)</f>
        <v>29066</v>
      </c>
      <c r="J9" s="19">
        <f>IFERROR(SUM('Data Sheet'!I18,'Data Sheet'!I20,'Data Sheet'!I21,'Data Sheet'!I22)-1*'Data Sheet'!I19,0)</f>
        <v>35381</v>
      </c>
      <c r="K9" s="19">
        <f>IFERROR(SUM('Data Sheet'!J18,'Data Sheet'!J20,'Data Sheet'!J21,'Data Sheet'!J22)-1*'Data Sheet'!J19,0)</f>
        <v>33651</v>
      </c>
      <c r="L9" s="19">
        <f>IFERROR(SUM('Data Sheet'!K18,'Data Sheet'!K20,'Data Sheet'!K21,'Data Sheet'!K22)-1*'Data Sheet'!K19,0)</f>
        <v>34529</v>
      </c>
      <c r="M9" s="19">
        <f>IFERROR(SUM('Data Sheet'!H43:K43),0)</f>
        <v>49111</v>
      </c>
    </row>
    <row r="10" spans="1:14" x14ac:dyDescent="0.3">
      <c r="B10" s="16" t="s">
        <v>65</v>
      </c>
      <c r="C10" s="18">
        <f>C9/C6</f>
        <v>0.56614677188839868</v>
      </c>
      <c r="D10" s="18">
        <f t="shared" ref="D10:M10" si="1">D9/D6</f>
        <v>0.5631445630540981</v>
      </c>
      <c r="E10" s="18">
        <f t="shared" si="1"/>
        <v>0.54336756224504146</v>
      </c>
      <c r="F10" s="18">
        <f t="shared" si="1"/>
        <v>0.53627575680488426</v>
      </c>
      <c r="G10" s="18">
        <f t="shared" si="1"/>
        <v>0.51816102355277383</v>
      </c>
      <c r="H10" s="18">
        <f t="shared" si="1"/>
        <v>0.53799863910861612</v>
      </c>
      <c r="I10" s="18">
        <f t="shared" si="1"/>
        <v>0.55420813789421497</v>
      </c>
      <c r="J10" s="18">
        <f t="shared" si="1"/>
        <v>0.58403763618355897</v>
      </c>
      <c r="K10" s="18">
        <f t="shared" si="1"/>
        <v>0.54367002714230317</v>
      </c>
      <c r="L10" s="18">
        <f t="shared" si="1"/>
        <v>0.54702872261212587</v>
      </c>
      <c r="M10" s="18">
        <f t="shared" si="1"/>
        <v>0.7682236265799024</v>
      </c>
    </row>
    <row r="12" spans="1:14" x14ac:dyDescent="0.3">
      <c r="B12" s="36" t="s">
        <v>7</v>
      </c>
      <c r="C12" s="37">
        <f>C6-C9</f>
        <v>13964</v>
      </c>
      <c r="D12" s="37">
        <f t="shared" ref="D12:M12" si="2">D6-D9</f>
        <v>14487</v>
      </c>
      <c r="E12" s="37">
        <f t="shared" si="2"/>
        <v>16231</v>
      </c>
      <c r="F12" s="37">
        <f t="shared" si="2"/>
        <v>18229</v>
      </c>
      <c r="G12" s="37">
        <f t="shared" si="2"/>
        <v>19169</v>
      </c>
      <c r="H12" s="37">
        <f t="shared" si="2"/>
        <v>21727</v>
      </c>
      <c r="I12" s="37">
        <f t="shared" si="2"/>
        <v>23380</v>
      </c>
      <c r="J12" s="37">
        <f t="shared" si="2"/>
        <v>25199</v>
      </c>
      <c r="K12" s="37">
        <f t="shared" si="2"/>
        <v>28245</v>
      </c>
      <c r="L12" s="37">
        <f t="shared" si="2"/>
        <v>28592</v>
      </c>
      <c r="M12" s="37">
        <f t="shared" si="2"/>
        <v>14817</v>
      </c>
    </row>
    <row r="13" spans="1:14" x14ac:dyDescent="0.3">
      <c r="B13" s="16" t="s">
        <v>70</v>
      </c>
      <c r="C13" s="18">
        <f>C12/C6</f>
        <v>0.43385322811160132</v>
      </c>
      <c r="D13" s="18">
        <f t="shared" ref="D13:M13" si="3">D12/D6</f>
        <v>0.43685543694590195</v>
      </c>
      <c r="E13" s="18">
        <f t="shared" si="3"/>
        <v>0.45663243775495849</v>
      </c>
      <c r="F13" s="18">
        <f t="shared" si="3"/>
        <v>0.46372424319511574</v>
      </c>
      <c r="G13" s="18">
        <f t="shared" si="3"/>
        <v>0.48183897644722617</v>
      </c>
      <c r="H13" s="18">
        <f t="shared" si="3"/>
        <v>0.46200136089138388</v>
      </c>
      <c r="I13" s="18">
        <f t="shared" si="3"/>
        <v>0.44579186210578498</v>
      </c>
      <c r="J13" s="18">
        <f t="shared" si="3"/>
        <v>0.41596236381644108</v>
      </c>
      <c r="K13" s="18">
        <f t="shared" si="3"/>
        <v>0.45632997285769678</v>
      </c>
      <c r="L13" s="18">
        <f t="shared" si="3"/>
        <v>0.45297127738787407</v>
      </c>
      <c r="M13" s="18">
        <f t="shared" si="3"/>
        <v>0.2317763734200976</v>
      </c>
    </row>
    <row r="15" spans="1:14" x14ac:dyDescent="0.3">
      <c r="B15" t="s">
        <v>77</v>
      </c>
      <c r="C15" s="21">
        <f>IFERROR(SUM('Data Sheet'!B23:B24),0)</f>
        <v>8054</v>
      </c>
      <c r="D15" s="21">
        <f>IFERROR(SUM('Data Sheet'!C23:C24),0)</f>
        <v>8159</v>
      </c>
      <c r="E15" s="21">
        <f>IFERROR(SUM('Data Sheet'!D23:D24),0)</f>
        <v>8732</v>
      </c>
      <c r="F15" s="21">
        <f>IFERROR(SUM('Data Sheet'!E23:E24),0)</f>
        <v>9349</v>
      </c>
      <c r="G15" s="21">
        <f>IFERROR(SUM('Data Sheet'!F23:F24),0)</f>
        <v>9308</v>
      </c>
      <c r="H15" s="21">
        <f>IFERROR(SUM('Data Sheet'!G23:G24),0)</f>
        <v>10101</v>
      </c>
      <c r="I15" s="21">
        <f>IFERROR(SUM('Data Sheet'!H23:H24),0)</f>
        <v>10523</v>
      </c>
      <c r="J15" s="21">
        <f>IFERROR(SUM('Data Sheet'!I23:I24),0)</f>
        <v>11052</v>
      </c>
      <c r="K15" s="21">
        <f>IFERROR(SUM('Data Sheet'!J23:J24),0)</f>
        <v>13586</v>
      </c>
      <c r="L15" s="21">
        <f>IFERROR(SUM('Data Sheet'!K23:K24),0)</f>
        <v>13749</v>
      </c>
    </row>
    <row r="16" spans="1:14" x14ac:dyDescent="0.3">
      <c r="B16" s="16" t="s">
        <v>66</v>
      </c>
      <c r="C16" s="18">
        <f>C15/C6</f>
        <v>0.25023302056794877</v>
      </c>
      <c r="D16" s="18">
        <f t="shared" ref="D16:M16" si="4">D15/D6</f>
        <v>0.24603461793619202</v>
      </c>
      <c r="E16" s="18">
        <f t="shared" si="4"/>
        <v>0.24566043044028696</v>
      </c>
      <c r="F16" s="18">
        <f t="shared" si="4"/>
        <v>0.23782752480284916</v>
      </c>
      <c r="G16" s="18">
        <f t="shared" si="4"/>
        <v>0.23396928336224015</v>
      </c>
      <c r="H16" s="18">
        <f t="shared" si="4"/>
        <v>0.21478693544271499</v>
      </c>
      <c r="I16" s="18">
        <f t="shared" si="4"/>
        <v>0.20064447240971667</v>
      </c>
      <c r="J16" s="18">
        <f t="shared" si="4"/>
        <v>0.18243644767249917</v>
      </c>
      <c r="K16" s="18">
        <f t="shared" si="4"/>
        <v>0.21949722114514669</v>
      </c>
      <c r="L16" s="18">
        <f t="shared" si="4"/>
        <v>0.21781974303322191</v>
      </c>
      <c r="M16" s="18">
        <f t="shared" si="4"/>
        <v>0</v>
      </c>
    </row>
    <row r="18" spans="2:13" x14ac:dyDescent="0.3">
      <c r="B18" s="36" t="s">
        <v>1</v>
      </c>
      <c r="C18" s="37">
        <f t="shared" ref="C18:M18" si="5">C12-C15</f>
        <v>5910</v>
      </c>
      <c r="D18" s="37">
        <f t="shared" si="5"/>
        <v>6328</v>
      </c>
      <c r="E18" s="37">
        <f t="shared" si="5"/>
        <v>7499</v>
      </c>
      <c r="F18" s="37">
        <f t="shared" si="5"/>
        <v>8880</v>
      </c>
      <c r="G18" s="37">
        <f t="shared" si="5"/>
        <v>9861</v>
      </c>
      <c r="H18" s="37">
        <f t="shared" si="5"/>
        <v>11626</v>
      </c>
      <c r="I18" s="37">
        <f t="shared" si="5"/>
        <v>12857</v>
      </c>
      <c r="J18" s="37">
        <f t="shared" si="5"/>
        <v>14147</v>
      </c>
      <c r="K18" s="37">
        <f t="shared" si="5"/>
        <v>14659</v>
      </c>
      <c r="L18" s="37">
        <f t="shared" si="5"/>
        <v>14843</v>
      </c>
      <c r="M18" s="37">
        <f t="shared" si="5"/>
        <v>14817</v>
      </c>
    </row>
    <row r="19" spans="2:13" x14ac:dyDescent="0.3">
      <c r="B19" s="16" t="s">
        <v>67</v>
      </c>
      <c r="C19" s="18">
        <f>C18/C6</f>
        <v>0.18362020754365252</v>
      </c>
      <c r="D19" s="18">
        <f t="shared" ref="D19:M19" si="6">D18/D6</f>
        <v>0.1908208190097099</v>
      </c>
      <c r="E19" s="18">
        <f t="shared" si="6"/>
        <v>0.21097200731467156</v>
      </c>
      <c r="F19" s="18">
        <f t="shared" si="6"/>
        <v>0.2258967183922666</v>
      </c>
      <c r="G19" s="18">
        <f t="shared" si="6"/>
        <v>0.24786969308498605</v>
      </c>
      <c r="H19" s="18">
        <f t="shared" si="6"/>
        <v>0.24721442544866887</v>
      </c>
      <c r="I19" s="18">
        <f t="shared" si="6"/>
        <v>0.24514738969606834</v>
      </c>
      <c r="J19" s="18">
        <f t="shared" si="6"/>
        <v>0.23352591614394189</v>
      </c>
      <c r="K19" s="18">
        <f t="shared" si="6"/>
        <v>0.23683275171255008</v>
      </c>
      <c r="L19" s="18">
        <f t="shared" si="6"/>
        <v>0.23515153435465216</v>
      </c>
      <c r="M19" s="18">
        <f t="shared" si="6"/>
        <v>0.2317763734200976</v>
      </c>
    </row>
    <row r="21" spans="2:13" x14ac:dyDescent="0.3">
      <c r="B21" t="s">
        <v>3</v>
      </c>
      <c r="C21" s="21">
        <f>IFERROR('Data Sheet'!B27,0)</f>
        <v>17</v>
      </c>
      <c r="D21" s="21">
        <f>IFERROR('Data Sheet'!C27,0)</f>
        <v>35</v>
      </c>
      <c r="E21" s="21">
        <f>IFERROR('Data Sheet'!D27,0)</f>
        <v>26</v>
      </c>
      <c r="F21" s="21">
        <f>IFERROR('Data Sheet'!E27,0)</f>
        <v>33</v>
      </c>
      <c r="G21" s="21">
        <f>IFERROR('Data Sheet'!F27,0)</f>
        <v>118</v>
      </c>
      <c r="H21" s="21">
        <f>IFERROR('Data Sheet'!G27,0)</f>
        <v>117</v>
      </c>
      <c r="I21" s="21">
        <f>IFERROR('Data Sheet'!H27,0)</f>
        <v>106</v>
      </c>
      <c r="J21" s="21">
        <f>IFERROR('Data Sheet'!I27,0)</f>
        <v>114</v>
      </c>
      <c r="K21" s="21">
        <f>IFERROR('Data Sheet'!J27,0)</f>
        <v>334</v>
      </c>
      <c r="L21" s="21">
        <f>IFERROR('Data Sheet'!K27,0)</f>
        <v>395</v>
      </c>
      <c r="M21" s="21">
        <f>IFERROR(SUM('Data Sheet'!H46:K46),0)</f>
        <v>429</v>
      </c>
    </row>
    <row r="22" spans="2:13" x14ac:dyDescent="0.3">
      <c r="B22" s="16" t="s">
        <v>68</v>
      </c>
      <c r="C22" s="18">
        <f>C21/C6</f>
        <v>5.2817995401727462E-4</v>
      </c>
      <c r="D22" s="18">
        <f t="shared" ref="D22:M22" si="7">D21/D6</f>
        <v>1.0554248839032628E-3</v>
      </c>
      <c r="E22" s="18">
        <f t="shared" si="7"/>
        <v>7.3146715431143621E-4</v>
      </c>
      <c r="F22" s="18">
        <f t="shared" si="7"/>
        <v>8.3948104807936915E-4</v>
      </c>
      <c r="G22" s="18">
        <f t="shared" si="7"/>
        <v>2.9660910439132291E-3</v>
      </c>
      <c r="H22" s="18">
        <f t="shared" si="7"/>
        <v>2.4878795611125285E-3</v>
      </c>
      <c r="I22" s="18">
        <f t="shared" si="7"/>
        <v>2.0211264920108303E-3</v>
      </c>
      <c r="J22" s="18">
        <f t="shared" si="7"/>
        <v>1.881809177946517E-3</v>
      </c>
      <c r="K22" s="18">
        <f t="shared" si="7"/>
        <v>5.3961483779242604E-3</v>
      </c>
      <c r="L22" s="18">
        <f t="shared" si="7"/>
        <v>6.2578222778473091E-3</v>
      </c>
      <c r="M22" s="18">
        <f t="shared" si="7"/>
        <v>6.710674508822425E-3</v>
      </c>
    </row>
    <row r="24" spans="2:13" x14ac:dyDescent="0.3">
      <c r="B24" t="s">
        <v>69</v>
      </c>
      <c r="C24" s="21">
        <f>IFERROR('Data Sheet'!B26,0)</f>
        <v>353</v>
      </c>
      <c r="D24" s="21">
        <f>IFERROR('Data Sheet'!C26,0)</f>
        <v>432</v>
      </c>
      <c r="E24" s="21">
        <f>IFERROR('Data Sheet'!D26,0)</f>
        <v>520</v>
      </c>
      <c r="F24" s="21">
        <f>IFERROR('Data Sheet'!E26,0)</f>
        <v>565</v>
      </c>
      <c r="G24" s="21">
        <f>IFERROR('Data Sheet'!F26,0)</f>
        <v>1002</v>
      </c>
      <c r="H24" s="21">
        <f>IFERROR('Data Sheet'!G26,0)</f>
        <v>1074</v>
      </c>
      <c r="I24" s="21">
        <f>IFERROR('Data Sheet'!H26,0)</f>
        <v>1091</v>
      </c>
      <c r="J24" s="21">
        <f>IFERROR('Data Sheet'!I26,0)</f>
        <v>1137</v>
      </c>
      <c r="K24" s="21">
        <f>IFERROR('Data Sheet'!J26,0)</f>
        <v>1216</v>
      </c>
      <c r="L24" s="21">
        <f>IFERROR('Data Sheet'!K26,0)</f>
        <v>1355</v>
      </c>
      <c r="M24" s="21">
        <f>IFERROR(SUM('Data Sheet'!H45:K45),0)</f>
        <v>1387</v>
      </c>
    </row>
    <row r="25" spans="2:13" x14ac:dyDescent="0.3">
      <c r="B25" s="16" t="s">
        <v>2</v>
      </c>
      <c r="C25" s="18">
        <f>C24/C6</f>
        <v>1.0967501398123409E-2</v>
      </c>
      <c r="D25" s="18">
        <f t="shared" ref="D25:M25" si="8">D24/D6</f>
        <v>1.3026958567034558E-2</v>
      </c>
      <c r="E25" s="18">
        <f t="shared" si="8"/>
        <v>1.4629343086228723E-2</v>
      </c>
      <c r="F25" s="18">
        <f t="shared" si="8"/>
        <v>1.437293309590435E-2</v>
      </c>
      <c r="G25" s="18">
        <f t="shared" si="8"/>
        <v>2.5186637508483524E-2</v>
      </c>
      <c r="H25" s="18">
        <f t="shared" si="8"/>
        <v>2.2837458535340648E-2</v>
      </c>
      <c r="I25" s="18">
        <f t="shared" si="8"/>
        <v>2.0802349082866187E-2</v>
      </c>
      <c r="J25" s="18">
        <f t="shared" si="8"/>
        <v>1.8768570485308684E-2</v>
      </c>
      <c r="K25" s="18">
        <f t="shared" si="8"/>
        <v>1.9645857567532635E-2</v>
      </c>
      <c r="L25" s="18">
        <f t="shared" si="8"/>
        <v>2.1466706801223048E-2</v>
      </c>
      <c r="M25" s="18">
        <f t="shared" si="8"/>
        <v>2.1696283318733574E-2</v>
      </c>
    </row>
    <row r="27" spans="2:13" x14ac:dyDescent="0.3">
      <c r="B27" s="36" t="s">
        <v>71</v>
      </c>
      <c r="C27" s="38">
        <f>IFERROR(C18-SUM(C21,C24),0)</f>
        <v>5540</v>
      </c>
      <c r="D27" s="38">
        <f t="shared" ref="D27:M27" si="9">IFERROR(D18-SUM(D21,D24),0)</f>
        <v>5861</v>
      </c>
      <c r="E27" s="38">
        <f t="shared" si="9"/>
        <v>6953</v>
      </c>
      <c r="F27" s="38">
        <f t="shared" si="9"/>
        <v>8282</v>
      </c>
      <c r="G27" s="38">
        <f t="shared" si="9"/>
        <v>8741</v>
      </c>
      <c r="H27" s="38">
        <f t="shared" si="9"/>
        <v>10435</v>
      </c>
      <c r="I27" s="38">
        <f t="shared" si="9"/>
        <v>11660</v>
      </c>
      <c r="J27" s="38">
        <f t="shared" si="9"/>
        <v>12896</v>
      </c>
      <c r="K27" s="38">
        <f t="shared" si="9"/>
        <v>13109</v>
      </c>
      <c r="L27" s="38">
        <f t="shared" si="9"/>
        <v>13093</v>
      </c>
      <c r="M27" s="38">
        <f t="shared" si="9"/>
        <v>13001</v>
      </c>
    </row>
    <row r="28" spans="2:13" x14ac:dyDescent="0.3">
      <c r="B28" s="16" t="s">
        <v>72</v>
      </c>
      <c r="C28" s="18">
        <f>C27/C6</f>
        <v>0.17212452619151183</v>
      </c>
      <c r="D28" s="18">
        <f t="shared" ref="D28:M28" si="10">D27/D6</f>
        <v>0.17673843555877208</v>
      </c>
      <c r="E28" s="18">
        <f t="shared" si="10"/>
        <v>0.19561119707413138</v>
      </c>
      <c r="F28" s="18">
        <f t="shared" si="10"/>
        <v>0.21068430424828288</v>
      </c>
      <c r="G28" s="18">
        <f t="shared" si="10"/>
        <v>0.21971696453258929</v>
      </c>
      <c r="H28" s="18">
        <f t="shared" si="10"/>
        <v>0.22188908735221571</v>
      </c>
      <c r="I28" s="18">
        <f t="shared" si="10"/>
        <v>0.22232391412119132</v>
      </c>
      <c r="J28" s="18">
        <f t="shared" si="10"/>
        <v>0.21287553648068669</v>
      </c>
      <c r="K28" s="18">
        <f t="shared" si="10"/>
        <v>0.2117907457670932</v>
      </c>
      <c r="L28" s="18">
        <f t="shared" si="10"/>
        <v>0.20742700527558183</v>
      </c>
      <c r="M28" s="18">
        <f t="shared" si="10"/>
        <v>0.2033694155925416</v>
      </c>
    </row>
    <row r="30" spans="2:13" x14ac:dyDescent="0.3">
      <c r="B30" t="s">
        <v>31</v>
      </c>
      <c r="C30" s="22">
        <f>IFERROR('Data Sheet'!B29,0)</f>
        <v>1875</v>
      </c>
      <c r="D30" s="22">
        <f>IFERROR('Data Sheet'!C29,0)</f>
        <v>1977</v>
      </c>
      <c r="E30" s="22">
        <f>IFERROR('Data Sheet'!D29,0)</f>
        <v>2079</v>
      </c>
      <c r="F30" s="22">
        <f>IFERROR('Data Sheet'!E29,0)</f>
        <v>2544</v>
      </c>
      <c r="G30" s="22">
        <f>IFERROR('Data Sheet'!F29,0)</f>
        <v>2409</v>
      </c>
      <c r="H30" s="22">
        <f>IFERROR('Data Sheet'!G29,0)</f>
        <v>2606</v>
      </c>
      <c r="I30" s="22">
        <f>IFERROR('Data Sheet'!H29,0)</f>
        <v>2987</v>
      </c>
      <c r="J30" s="22">
        <f>IFERROR('Data Sheet'!I29,0)</f>
        <v>3201</v>
      </c>
      <c r="K30" s="22">
        <f>IFERROR('Data Sheet'!J29,0)</f>
        <v>3644</v>
      </c>
      <c r="L30" s="22">
        <f>IFERROR('Data Sheet'!K29,0)</f>
        <v>3744</v>
      </c>
      <c r="M30" s="22">
        <f>IFERROR(SUM('Data Sheet'!H48:K48),0)</f>
        <v>3362</v>
      </c>
    </row>
    <row r="31" spans="2:13" x14ac:dyDescent="0.3">
      <c r="B31" s="16" t="s">
        <v>73</v>
      </c>
      <c r="C31" s="18">
        <f>C30/C27</f>
        <v>0.33844765342960287</v>
      </c>
      <c r="D31" s="18">
        <f t="shared" ref="D31:M31" si="11">D30/D27</f>
        <v>0.33731445145879541</v>
      </c>
      <c r="E31" s="18">
        <f t="shared" si="11"/>
        <v>0.29900762260894576</v>
      </c>
      <c r="F31" s="18">
        <f t="shared" si="11"/>
        <v>0.30717218063269741</v>
      </c>
      <c r="G31" s="18">
        <f t="shared" si="11"/>
        <v>0.27559775769362771</v>
      </c>
      <c r="H31" s="18">
        <f>H30/H27</f>
        <v>0.24973646382367035</v>
      </c>
      <c r="I31" s="18">
        <f t="shared" si="11"/>
        <v>0.25617495711835336</v>
      </c>
      <c r="J31" s="18">
        <f t="shared" si="11"/>
        <v>0.24821650124069478</v>
      </c>
      <c r="K31" s="18">
        <f t="shared" si="11"/>
        <v>0.27797696239224962</v>
      </c>
      <c r="L31" s="18">
        <f t="shared" si="11"/>
        <v>0.28595432673947913</v>
      </c>
      <c r="M31" s="18">
        <f t="shared" si="11"/>
        <v>0.25859549265441117</v>
      </c>
    </row>
    <row r="33" spans="1:13" x14ac:dyDescent="0.3">
      <c r="B33" s="36" t="s">
        <v>74</v>
      </c>
      <c r="C33" s="37">
        <f>IFERROR(C27-C30,0)</f>
        <v>3665</v>
      </c>
      <c r="D33" s="37">
        <f t="shared" ref="D33:M33" si="12">IFERROR(D27-D30,0)</f>
        <v>3884</v>
      </c>
      <c r="E33" s="37">
        <f t="shared" si="12"/>
        <v>4874</v>
      </c>
      <c r="F33" s="37">
        <f t="shared" si="12"/>
        <v>5738</v>
      </c>
      <c r="G33" s="37">
        <f t="shared" si="12"/>
        <v>6332</v>
      </c>
      <c r="H33" s="37">
        <f t="shared" si="12"/>
        <v>7829</v>
      </c>
      <c r="I33" s="37">
        <f t="shared" si="12"/>
        <v>8673</v>
      </c>
      <c r="J33" s="37">
        <f t="shared" si="12"/>
        <v>9695</v>
      </c>
      <c r="K33" s="37">
        <f t="shared" si="12"/>
        <v>9465</v>
      </c>
      <c r="L33" s="37">
        <f t="shared" si="12"/>
        <v>9349</v>
      </c>
      <c r="M33" s="37">
        <f t="shared" si="12"/>
        <v>9639</v>
      </c>
    </row>
    <row r="34" spans="1:13" x14ac:dyDescent="0.3">
      <c r="B34" s="16" t="s">
        <v>75</v>
      </c>
      <c r="C34" s="18">
        <f>C33/C6</f>
        <v>0.11386938420431243</v>
      </c>
      <c r="D34" s="18">
        <f t="shared" ref="D34:M34" si="13">D33/D6</f>
        <v>0.11712200711657922</v>
      </c>
      <c r="E34" s="18">
        <f t="shared" si="13"/>
        <v>0.1371219580813054</v>
      </c>
      <c r="F34" s="18">
        <f t="shared" si="13"/>
        <v>0.14596794708725516</v>
      </c>
      <c r="G34" s="18">
        <f t="shared" si="13"/>
        <v>0.15916346178015736</v>
      </c>
      <c r="H34" s="18">
        <f t="shared" si="13"/>
        <v>0.16647529131581185</v>
      </c>
      <c r="I34" s="18">
        <f t="shared" si="13"/>
        <v>0.16537009495481067</v>
      </c>
      <c r="J34" s="18">
        <f t="shared" si="13"/>
        <v>0.16003631561571477</v>
      </c>
      <c r="K34" s="18">
        <f t="shared" si="13"/>
        <v>0.15291779759596744</v>
      </c>
      <c r="L34" s="18">
        <f t="shared" si="13"/>
        <v>0.14811235563441644</v>
      </c>
      <c r="M34" s="18">
        <f t="shared" si="13"/>
        <v>0.15077900137654862</v>
      </c>
    </row>
    <row r="36" spans="1:13" x14ac:dyDescent="0.3">
      <c r="B36" t="s">
        <v>76</v>
      </c>
      <c r="C36">
        <f>IFERROR('Data Sheet'!B93,0)</f>
        <v>216.39</v>
      </c>
      <c r="D36">
        <f>IFERROR('Data Sheet'!C93,0)</f>
        <v>216.43</v>
      </c>
      <c r="E36">
        <f>IFERROR('Data Sheet'!D93,0)</f>
        <v>216.45</v>
      </c>
      <c r="F36">
        <f>IFERROR('Data Sheet'!E93,0)</f>
        <v>216.47</v>
      </c>
      <c r="G36">
        <f>IFERROR('Data Sheet'!F93,0)</f>
        <v>216.48</v>
      </c>
      <c r="H36">
        <f>IFERROR('Data Sheet'!G93,0)</f>
        <v>234.96</v>
      </c>
      <c r="I36">
        <f>IFERROR('Data Sheet'!H93,0)</f>
        <v>234.96</v>
      </c>
      <c r="J36">
        <f>IFERROR('Data Sheet'!I93,0)</f>
        <v>234.96</v>
      </c>
      <c r="K36">
        <f>IFERROR('Data Sheet'!J93,0)</f>
        <v>234.96</v>
      </c>
      <c r="L36">
        <f>IFERROR('Data Sheet'!K93,0)</f>
        <v>234.96</v>
      </c>
    </row>
    <row r="38" spans="1:13" x14ac:dyDescent="0.3">
      <c r="B38" t="s">
        <v>79</v>
      </c>
      <c r="C38" s="24">
        <f>IFERROR(C33/C36,0)</f>
        <v>16.937011876704101</v>
      </c>
      <c r="D38" s="24">
        <f t="shared" ref="D38:L38" si="14">IFERROR(D33/D36,0)</f>
        <v>17.945756133622879</v>
      </c>
      <c r="E38" s="24">
        <f t="shared" si="14"/>
        <v>22.51790251790252</v>
      </c>
      <c r="F38" s="24">
        <f t="shared" si="14"/>
        <v>26.507137247655564</v>
      </c>
      <c r="G38" s="24">
        <f t="shared" si="14"/>
        <v>29.249815225424982</v>
      </c>
      <c r="H38" s="24">
        <f t="shared" si="14"/>
        <v>33.320565202587673</v>
      </c>
      <c r="I38" s="24">
        <f t="shared" si="14"/>
        <v>36.912665985699689</v>
      </c>
      <c r="J38" s="24">
        <f t="shared" si="14"/>
        <v>41.262342526387471</v>
      </c>
      <c r="K38" s="24">
        <f t="shared" si="14"/>
        <v>40.283452502553622</v>
      </c>
      <c r="L38" s="24">
        <f t="shared" si="14"/>
        <v>39.789751447054819</v>
      </c>
      <c r="M38" s="23"/>
    </row>
    <row r="39" spans="1:13" x14ac:dyDescent="0.3">
      <c r="B39" s="16" t="s">
        <v>80</v>
      </c>
      <c r="C39" s="18"/>
      <c r="D39" s="18">
        <f>IFERROR(D38/C38-1,0)</f>
        <v>5.9558572920778818E-2</v>
      </c>
      <c r="E39" s="18">
        <f t="shared" ref="E39:L39" si="15">IFERROR(E38/D38-1,0)</f>
        <v>0.25477591193348159</v>
      </c>
      <c r="F39" s="18">
        <f t="shared" si="15"/>
        <v>0.17715836217789205</v>
      </c>
      <c r="G39" s="18">
        <f t="shared" si="15"/>
        <v>0.10346941475213423</v>
      </c>
      <c r="H39" s="18">
        <f t="shared" si="15"/>
        <v>0.1391718185496178</v>
      </c>
      <c r="I39" s="18">
        <f t="shared" si="15"/>
        <v>0.10780431728190054</v>
      </c>
      <c r="J39" s="18">
        <f t="shared" si="15"/>
        <v>0.11783696529459253</v>
      </c>
      <c r="K39" s="18">
        <f t="shared" si="15"/>
        <v>-2.3723568849922771E-2</v>
      </c>
      <c r="L39" s="18">
        <f t="shared" si="15"/>
        <v>-1.2255678816692983E-2</v>
      </c>
      <c r="M39" s="23"/>
    </row>
    <row r="41" spans="1:13" x14ac:dyDescent="0.3">
      <c r="B41" t="s">
        <v>78</v>
      </c>
      <c r="C41" s="24">
        <f>IFERROR('Data Sheet'!B31/'Data Sheet'!B93,0)</f>
        <v>15.971163177596008</v>
      </c>
      <c r="D41" s="24">
        <f>IFERROR('Data Sheet'!C31/'Data Sheet'!C93,0)</f>
        <v>16.966224645381878</v>
      </c>
      <c r="E41" s="24">
        <f>IFERROR('Data Sheet'!D31/'Data Sheet'!D93,0)</f>
        <v>19.95841995841996</v>
      </c>
      <c r="F41" s="24">
        <f>IFERROR('Data Sheet'!E31/'Data Sheet'!E93,0)</f>
        <v>21.95223356585208</v>
      </c>
      <c r="G41" s="24">
        <f>IFERROR('Data Sheet'!F31/'Data Sheet'!F93,0)</f>
        <v>24.944567627494457</v>
      </c>
      <c r="H41" s="24">
        <f>IFERROR('Data Sheet'!G31/'Data Sheet'!G93,0)</f>
        <v>40.506894790602651</v>
      </c>
      <c r="I41" s="24">
        <f>IFERROR('Data Sheet'!H31/'Data Sheet'!H93,0)</f>
        <v>34.005788219271366</v>
      </c>
      <c r="J41" s="24">
        <f>IFERROR('Data Sheet'!I31/'Data Sheet'!I93,0)</f>
        <v>39.006639427987743</v>
      </c>
      <c r="K41" s="24">
        <f>IFERROR('Data Sheet'!J31/'Data Sheet'!J93,0)</f>
        <v>42.007150153217566</v>
      </c>
      <c r="L41" s="24">
        <f>IFERROR('Data Sheet'!K31/'Data Sheet'!K93,0)</f>
        <v>53.009022812393596</v>
      </c>
    </row>
    <row r="42" spans="1:13" x14ac:dyDescent="0.3">
      <c r="B42" s="16" t="s">
        <v>81</v>
      </c>
      <c r="C42" s="18">
        <f>IFERROR(C41/C38,0)</f>
        <v>0.94297407912687581</v>
      </c>
      <c r="D42" s="18">
        <f t="shared" ref="D42:L42" si="16">IFERROR(D41/D38,0)</f>
        <v>0.94541709577754895</v>
      </c>
      <c r="E42" s="18">
        <f t="shared" si="16"/>
        <v>0.88633565859663521</v>
      </c>
      <c r="F42" s="18">
        <f t="shared" si="16"/>
        <v>0.82816312303938655</v>
      </c>
      <c r="G42" s="18">
        <f t="shared" si="16"/>
        <v>0.85281111813013266</v>
      </c>
      <c r="H42" s="18">
        <f t="shared" si="16"/>
        <v>1.2156724996806743</v>
      </c>
      <c r="I42" s="18">
        <f t="shared" si="16"/>
        <v>0.92124985587455333</v>
      </c>
      <c r="J42" s="18">
        <f t="shared" si="16"/>
        <v>0.94533264569365649</v>
      </c>
      <c r="K42" s="18">
        <f t="shared" si="16"/>
        <v>1.0427892234548337</v>
      </c>
      <c r="L42" s="18">
        <f t="shared" si="16"/>
        <v>1.3322280457802973</v>
      </c>
      <c r="M42" s="18"/>
    </row>
    <row r="44" spans="1:13" x14ac:dyDescent="0.3">
      <c r="B44" t="s">
        <v>82</v>
      </c>
      <c r="C44" s="2">
        <f>IFERROR(IF(C38&gt;C41,1-C42,0),0)</f>
        <v>5.7025920873124192E-2</v>
      </c>
      <c r="D44" s="2">
        <f t="shared" ref="D44:L44" si="17">IFERROR(IF(D38&gt;D41,1-D42,0),0)</f>
        <v>5.4582904222451045E-2</v>
      </c>
      <c r="E44" s="2">
        <f t="shared" si="17"/>
        <v>0.11366434140336479</v>
      </c>
      <c r="F44" s="2">
        <f t="shared" si="17"/>
        <v>0.17183687696061345</v>
      </c>
      <c r="G44" s="2">
        <f t="shared" si="17"/>
        <v>0.14718888186986734</v>
      </c>
      <c r="H44" s="2">
        <f t="shared" si="17"/>
        <v>0</v>
      </c>
      <c r="I44" s="2">
        <f t="shared" si="17"/>
        <v>7.8750144125446675E-2</v>
      </c>
      <c r="J44" s="2">
        <f t="shared" si="17"/>
        <v>5.4667354306343507E-2</v>
      </c>
      <c r="K44" s="2">
        <f t="shared" si="17"/>
        <v>0</v>
      </c>
      <c r="L44" s="2">
        <f t="shared" si="17"/>
        <v>0</v>
      </c>
      <c r="M44" s="2"/>
    </row>
    <row r="48" spans="1:13" x14ac:dyDescent="0.3">
      <c r="A48" t="s">
        <v>5</v>
      </c>
      <c r="B48" s="5" t="s">
        <v>83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3">
      <c r="B49" s="12" t="s">
        <v>38</v>
      </c>
      <c r="C49" s="22">
        <f>IFERROR('Data Sheet'!B57,0)</f>
        <v>216</v>
      </c>
      <c r="D49" s="22">
        <f>IFERROR('Data Sheet'!C57,0)</f>
        <v>216</v>
      </c>
      <c r="E49" s="22">
        <f>IFERROR('Data Sheet'!D57,0)</f>
        <v>216</v>
      </c>
      <c r="F49" s="22">
        <f>IFERROR('Data Sheet'!E57,0)</f>
        <v>216</v>
      </c>
      <c r="G49" s="22">
        <f>IFERROR('Data Sheet'!F57,0)</f>
        <v>216</v>
      </c>
      <c r="H49" s="22">
        <f>IFERROR('Data Sheet'!G57,0)</f>
        <v>235</v>
      </c>
      <c r="I49" s="22">
        <f>IFERROR('Data Sheet'!H57,0)</f>
        <v>235</v>
      </c>
      <c r="J49" s="22">
        <f>IFERROR('Data Sheet'!I57,0)</f>
        <v>235</v>
      </c>
      <c r="K49" s="22">
        <f>IFERROR('Data Sheet'!J57,0)</f>
        <v>235</v>
      </c>
      <c r="L49" s="22">
        <f>IFERROR('Data Sheet'!K57,0)</f>
        <v>235</v>
      </c>
      <c r="M49" s="24"/>
    </row>
    <row r="50" spans="2:13" x14ac:dyDescent="0.3">
      <c r="B50" s="12" t="s">
        <v>39</v>
      </c>
      <c r="C50" s="22">
        <f>IFERROR('Data Sheet'!B58,0)</f>
        <v>6357</v>
      </c>
      <c r="D50" s="22">
        <f>IFERROR('Data Sheet'!C58,0)</f>
        <v>6528</v>
      </c>
      <c r="E50" s="22">
        <f>IFERROR('Data Sheet'!D58,0)</f>
        <v>7065</v>
      </c>
      <c r="F50" s="22">
        <f>IFERROR('Data Sheet'!E58,0)</f>
        <v>7651</v>
      </c>
      <c r="G50" s="22">
        <f>IFERROR('Data Sheet'!F58,0)</f>
        <v>8013</v>
      </c>
      <c r="H50" s="22">
        <f>IFERROR('Data Sheet'!G58,0)</f>
        <v>47439</v>
      </c>
      <c r="I50" s="22">
        <f>IFERROR('Data Sheet'!H58,0)</f>
        <v>48826</v>
      </c>
      <c r="J50" s="22">
        <f>IFERROR('Data Sheet'!I58,0)</f>
        <v>50069</v>
      </c>
      <c r="K50" s="22">
        <f>IFERROR('Data Sheet'!J58,0)</f>
        <v>50983</v>
      </c>
      <c r="L50" s="22">
        <f>IFERROR('Data Sheet'!K58,0)</f>
        <v>49167</v>
      </c>
      <c r="M50" s="24"/>
    </row>
    <row r="51" spans="2:13" x14ac:dyDescent="0.3">
      <c r="B51" s="12" t="s">
        <v>40</v>
      </c>
      <c r="C51" s="22">
        <f>IFERROR('Data Sheet'!B59,0)</f>
        <v>177</v>
      </c>
      <c r="D51" s="22">
        <f>IFERROR('Data Sheet'!C59,0)</f>
        <v>277</v>
      </c>
      <c r="E51" s="22">
        <f>IFERROR('Data Sheet'!D59,0)</f>
        <v>0</v>
      </c>
      <c r="F51" s="22">
        <f>IFERROR('Data Sheet'!E59,0)</f>
        <v>99</v>
      </c>
      <c r="G51" s="22">
        <f>IFERROR('Data Sheet'!F59,0)</f>
        <v>0</v>
      </c>
      <c r="H51" s="22">
        <f>IFERROR('Data Sheet'!G59,0)</f>
        <v>0</v>
      </c>
      <c r="I51" s="22">
        <f>IFERROR('Data Sheet'!H59,0)</f>
        <v>1043</v>
      </c>
      <c r="J51" s="22">
        <f>IFERROR('Data Sheet'!I59,0)</f>
        <v>1219</v>
      </c>
      <c r="K51" s="22">
        <f>IFERROR('Data Sheet'!J59,0)</f>
        <v>1484</v>
      </c>
      <c r="L51" s="22">
        <f>IFERROR('Data Sheet'!K59,0)</f>
        <v>1648</v>
      </c>
      <c r="M51" s="24"/>
    </row>
    <row r="52" spans="2:13" x14ac:dyDescent="0.3">
      <c r="B52" s="12" t="s">
        <v>41</v>
      </c>
      <c r="C52" s="22">
        <f>IFERROR('Data Sheet'!B60,0)</f>
        <v>8043</v>
      </c>
      <c r="D52" s="22">
        <f>IFERROR('Data Sheet'!C60,0)</f>
        <v>8685</v>
      </c>
      <c r="E52" s="22">
        <f>IFERROR('Data Sheet'!D60,0)</f>
        <v>10581</v>
      </c>
      <c r="F52" s="22">
        <f>IFERROR('Data Sheet'!E60,0)</f>
        <v>10663</v>
      </c>
      <c r="G52" s="22">
        <f>IFERROR('Data Sheet'!F60,0)</f>
        <v>11924</v>
      </c>
      <c r="H52" s="22">
        <f>IFERROR('Data Sheet'!G60,0)</f>
        <v>21066</v>
      </c>
      <c r="I52" s="22">
        <f>IFERROR('Data Sheet'!H60,0)</f>
        <v>20402</v>
      </c>
      <c r="J52" s="22">
        <f>IFERROR('Data Sheet'!I60,0)</f>
        <v>21554</v>
      </c>
      <c r="K52" s="22">
        <f>IFERROR('Data Sheet'!J60,0)</f>
        <v>25787</v>
      </c>
      <c r="L52" s="22">
        <f>IFERROR('Data Sheet'!K60,0)</f>
        <v>28813</v>
      </c>
      <c r="M52" s="24"/>
    </row>
    <row r="53" spans="2:13" x14ac:dyDescent="0.3">
      <c r="B53" s="34" t="s">
        <v>84</v>
      </c>
      <c r="C53" s="38">
        <f>IFERROR('Data Sheet'!B61,0)</f>
        <v>14793</v>
      </c>
      <c r="D53" s="38">
        <f>IFERROR('Data Sheet'!C61,0)</f>
        <v>15706</v>
      </c>
      <c r="E53" s="38">
        <f>IFERROR('Data Sheet'!D61,0)</f>
        <v>17862</v>
      </c>
      <c r="F53" s="38">
        <f>IFERROR('Data Sheet'!E61,0)</f>
        <v>18629</v>
      </c>
      <c r="G53" s="38">
        <f>IFERROR('Data Sheet'!F61,0)</f>
        <v>20153</v>
      </c>
      <c r="H53" s="38">
        <f>IFERROR('Data Sheet'!G61,0)</f>
        <v>68740</v>
      </c>
      <c r="I53" s="38">
        <f>IFERROR('Data Sheet'!H61,0)</f>
        <v>70506</v>
      </c>
      <c r="J53" s="38">
        <f>IFERROR('Data Sheet'!I61,0)</f>
        <v>73077</v>
      </c>
      <c r="K53" s="38">
        <f>IFERROR('Data Sheet'!J61,0)</f>
        <v>78489</v>
      </c>
      <c r="L53" s="38">
        <f>IFERROR('Data Sheet'!K61,0)</f>
        <v>79863</v>
      </c>
      <c r="M53" s="25"/>
    </row>
    <row r="54" spans="2:13" x14ac:dyDescent="0.3">
      <c r="B54" s="7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3" x14ac:dyDescent="0.3">
      <c r="B55" s="12" t="s">
        <v>85</v>
      </c>
      <c r="C55" s="22">
        <f>IFERROR('Data Sheet'!B62,0)</f>
        <v>3258</v>
      </c>
      <c r="D55" s="22">
        <f>IFERROR('Data Sheet'!C62,0)</f>
        <v>4419</v>
      </c>
      <c r="E55" s="22">
        <f>IFERROR('Data Sheet'!D62,0)</f>
        <v>4528</v>
      </c>
      <c r="F55" s="22">
        <f>IFERROR('Data Sheet'!E62,0)</f>
        <v>4715</v>
      </c>
      <c r="G55" s="22">
        <f>IFERROR('Data Sheet'!F62,0)</f>
        <v>5479</v>
      </c>
      <c r="H55" s="22">
        <f>IFERROR('Data Sheet'!G62,0)</f>
        <v>51443</v>
      </c>
      <c r="I55" s="22">
        <f>IFERROR('Data Sheet'!H62,0)</f>
        <v>51473</v>
      </c>
      <c r="J55" s="22">
        <f>IFERROR('Data Sheet'!I62,0)</f>
        <v>52678</v>
      </c>
      <c r="K55" s="22">
        <f>IFERROR('Data Sheet'!J62,0)</f>
        <v>53744</v>
      </c>
      <c r="L55" s="22">
        <f>IFERROR('Data Sheet'!K62,0)</f>
        <v>54335</v>
      </c>
    </row>
    <row r="56" spans="2:13" x14ac:dyDescent="0.3">
      <c r="B56" s="12" t="s">
        <v>43</v>
      </c>
      <c r="C56" s="22">
        <f>IFERROR('Data Sheet'!B63,0)</f>
        <v>408</v>
      </c>
      <c r="D56" s="22">
        <f>IFERROR('Data Sheet'!C63,0)</f>
        <v>229</v>
      </c>
      <c r="E56" s="22">
        <f>IFERROR('Data Sheet'!D63,0)</f>
        <v>461</v>
      </c>
      <c r="F56" s="22">
        <f>IFERROR('Data Sheet'!E63,0)</f>
        <v>406</v>
      </c>
      <c r="G56" s="22">
        <f>IFERROR('Data Sheet'!F63,0)</f>
        <v>597</v>
      </c>
      <c r="H56" s="22">
        <f>IFERROR('Data Sheet'!G63,0)</f>
        <v>745</v>
      </c>
      <c r="I56" s="22">
        <f>IFERROR('Data Sheet'!H63,0)</f>
        <v>1313</v>
      </c>
      <c r="J56" s="22">
        <f>IFERROR('Data Sheet'!I63,0)</f>
        <v>1132</v>
      </c>
      <c r="K56" s="22">
        <f>IFERROR('Data Sheet'!J63,0)</f>
        <v>1025</v>
      </c>
      <c r="L56" s="22">
        <f>IFERROR('Data Sheet'!K63,0)</f>
        <v>1009</v>
      </c>
    </row>
    <row r="57" spans="2:13" x14ac:dyDescent="0.3">
      <c r="B57" s="12" t="s">
        <v>44</v>
      </c>
      <c r="C57" s="22">
        <f>IFERROR('Data Sheet'!B64,0)</f>
        <v>2592</v>
      </c>
      <c r="D57" s="22">
        <f>IFERROR('Data Sheet'!C64,0)</f>
        <v>3794</v>
      </c>
      <c r="E57" s="22">
        <f>IFERROR('Data Sheet'!D64,0)</f>
        <v>2873</v>
      </c>
      <c r="F57" s="22">
        <f>IFERROR('Data Sheet'!E64,0)</f>
        <v>2716</v>
      </c>
      <c r="G57" s="22">
        <f>IFERROR('Data Sheet'!F64,0)</f>
        <v>1255</v>
      </c>
      <c r="H57" s="22">
        <f>IFERROR('Data Sheet'!G64,0)</f>
        <v>2709</v>
      </c>
      <c r="I57" s="22">
        <f>IFERROR('Data Sheet'!H64,0)</f>
        <v>3521</v>
      </c>
      <c r="J57" s="22">
        <f>IFERROR('Data Sheet'!I64,0)</f>
        <v>2882</v>
      </c>
      <c r="K57" s="22">
        <f>IFERROR('Data Sheet'!J64,0)</f>
        <v>4625</v>
      </c>
      <c r="L57" s="22">
        <f>IFERROR('Data Sheet'!K64,0)</f>
        <v>3810</v>
      </c>
    </row>
    <row r="58" spans="2:13" x14ac:dyDescent="0.3">
      <c r="B58" s="12" t="s">
        <v>45</v>
      </c>
      <c r="C58" s="22">
        <f>IFERROR('Data Sheet'!B65-SUM('Data Sheet'!B67:B69),0)</f>
        <v>1536</v>
      </c>
      <c r="D58" s="22">
        <f>IFERROR('Data Sheet'!C65-SUM('Data Sheet'!C67:C69),0)</f>
        <v>1810</v>
      </c>
      <c r="E58" s="22">
        <f>IFERROR('Data Sheet'!D65-SUM('Data Sheet'!D67:D69),0)</f>
        <v>2692</v>
      </c>
      <c r="F58" s="22">
        <f>IFERROR('Data Sheet'!E65-SUM('Data Sheet'!E67:E69),0)</f>
        <v>2645</v>
      </c>
      <c r="G58" s="22">
        <f>IFERROR('Data Sheet'!F65-SUM('Data Sheet'!F67:F69),0)</f>
        <v>3793</v>
      </c>
      <c r="H58" s="22">
        <f>IFERROR('Data Sheet'!G65-SUM('Data Sheet'!G67:G69),0)</f>
        <v>4035</v>
      </c>
      <c r="I58" s="22">
        <f>IFERROR('Data Sheet'!H65-SUM('Data Sheet'!H67:H69),0)</f>
        <v>4021</v>
      </c>
      <c r="J58" s="22">
        <f>IFERROR('Data Sheet'!I65-SUM('Data Sheet'!I67:I69),0)</f>
        <v>4377</v>
      </c>
      <c r="K58" s="22">
        <f>IFERROR('Data Sheet'!J65-SUM('Data Sheet'!J67:J69),0)</f>
        <v>4517</v>
      </c>
      <c r="L58" s="22">
        <f>IFERROR('Data Sheet'!K65-SUM('Data Sheet'!K67:K69),0)</f>
        <v>4921</v>
      </c>
    </row>
    <row r="59" spans="2:13" x14ac:dyDescent="0.3">
      <c r="B59" s="34" t="s">
        <v>86</v>
      </c>
      <c r="C59" s="38">
        <f>IFERROR(SUM(C55:C58),0)</f>
        <v>7794</v>
      </c>
      <c r="D59" s="38">
        <f t="shared" ref="D59:L59" si="18">IFERROR(SUM(D55:D58),0)</f>
        <v>10252</v>
      </c>
      <c r="E59" s="38">
        <f t="shared" si="18"/>
        <v>10554</v>
      </c>
      <c r="F59" s="38">
        <f t="shared" si="18"/>
        <v>10482</v>
      </c>
      <c r="G59" s="38">
        <f t="shared" si="18"/>
        <v>11124</v>
      </c>
      <c r="H59" s="38">
        <f t="shared" si="18"/>
        <v>58932</v>
      </c>
      <c r="I59" s="38">
        <f t="shared" si="18"/>
        <v>60328</v>
      </c>
      <c r="J59" s="38">
        <f t="shared" si="18"/>
        <v>61069</v>
      </c>
      <c r="K59" s="38">
        <f t="shared" si="18"/>
        <v>63911</v>
      </c>
      <c r="L59" s="38">
        <f t="shared" si="18"/>
        <v>64075</v>
      </c>
    </row>
    <row r="60" spans="2:13" x14ac:dyDescent="0.3">
      <c r="B60" s="7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3" x14ac:dyDescent="0.3">
      <c r="B61" s="12" t="s">
        <v>46</v>
      </c>
      <c r="C61" s="22">
        <f>IFERROR('Data Sheet'!B67,0)</f>
        <v>1264</v>
      </c>
      <c r="D61" s="22">
        <f>IFERROR('Data Sheet'!C67,0)</f>
        <v>1085</v>
      </c>
      <c r="E61" s="22">
        <f>IFERROR('Data Sheet'!D67,0)</f>
        <v>1310</v>
      </c>
      <c r="F61" s="22">
        <f>IFERROR('Data Sheet'!E67,0)</f>
        <v>1816</v>
      </c>
      <c r="G61" s="22">
        <f>IFERROR('Data Sheet'!F67,0)</f>
        <v>1149</v>
      </c>
      <c r="H61" s="22">
        <f>IFERROR('Data Sheet'!G67,0)</f>
        <v>1758</v>
      </c>
      <c r="I61" s="22">
        <f>IFERROR('Data Sheet'!H67,0)</f>
        <v>2236</v>
      </c>
      <c r="J61" s="22">
        <f>IFERROR('Data Sheet'!I67,0)</f>
        <v>3079</v>
      </c>
      <c r="K61" s="22">
        <f>IFERROR('Data Sheet'!J67,0)</f>
        <v>2997</v>
      </c>
      <c r="L61" s="22">
        <f>IFERROR('Data Sheet'!K67,0)</f>
        <v>3819</v>
      </c>
    </row>
    <row r="62" spans="2:13" x14ac:dyDescent="0.3">
      <c r="B62" s="12" t="s">
        <v>47</v>
      </c>
      <c r="C62" s="22">
        <f>IFERROR('Data Sheet'!B68,0)</f>
        <v>2726</v>
      </c>
      <c r="D62" s="22">
        <f>IFERROR('Data Sheet'!C68,0)</f>
        <v>2541</v>
      </c>
      <c r="E62" s="22">
        <f>IFERROR('Data Sheet'!D68,0)</f>
        <v>2513</v>
      </c>
      <c r="F62" s="22">
        <f>IFERROR('Data Sheet'!E68,0)</f>
        <v>2574</v>
      </c>
      <c r="G62" s="22">
        <f>IFERROR('Data Sheet'!F68,0)</f>
        <v>2767</v>
      </c>
      <c r="H62" s="22">
        <f>IFERROR('Data Sheet'!G68,0)</f>
        <v>3579</v>
      </c>
      <c r="I62" s="22">
        <f>IFERROR('Data Sheet'!H68,0)</f>
        <v>4096</v>
      </c>
      <c r="J62" s="22">
        <f>IFERROR('Data Sheet'!I68,0)</f>
        <v>4251</v>
      </c>
      <c r="K62" s="22">
        <f>IFERROR('Data Sheet'!J68,0)</f>
        <v>4022</v>
      </c>
      <c r="L62" s="22">
        <f>IFERROR('Data Sheet'!K68,0)</f>
        <v>4415</v>
      </c>
    </row>
    <row r="63" spans="2:13" x14ac:dyDescent="0.3">
      <c r="B63" s="8" t="s">
        <v>48</v>
      </c>
      <c r="C63" s="22">
        <f>IFERROR('Data Sheet'!B69,0)</f>
        <v>3009</v>
      </c>
      <c r="D63" s="22">
        <f>IFERROR('Data Sheet'!C69,0)</f>
        <v>1828</v>
      </c>
      <c r="E63" s="22">
        <f>IFERROR('Data Sheet'!D69,0)</f>
        <v>3485</v>
      </c>
      <c r="F63" s="22">
        <f>IFERROR('Data Sheet'!E69,0)</f>
        <v>3757</v>
      </c>
      <c r="G63" s="22">
        <f>IFERROR('Data Sheet'!F69,0)</f>
        <v>5113</v>
      </c>
      <c r="H63" s="22">
        <f>IFERROR('Data Sheet'!G69,0)</f>
        <v>4471</v>
      </c>
      <c r="I63" s="22">
        <f>IFERROR('Data Sheet'!H69,0)</f>
        <v>3846</v>
      </c>
      <c r="J63" s="22">
        <f>IFERROR('Data Sheet'!I69,0)</f>
        <v>4678</v>
      </c>
      <c r="K63" s="22">
        <f>IFERROR('Data Sheet'!J69,0)</f>
        <v>7559</v>
      </c>
      <c r="L63" s="22">
        <f>IFERROR('Data Sheet'!K69,0)</f>
        <v>7554</v>
      </c>
    </row>
    <row r="64" spans="2:13" x14ac:dyDescent="0.3">
      <c r="B64" s="35" t="s">
        <v>87</v>
      </c>
      <c r="C64" s="63">
        <f>IFERROR(SUM(C61:C63),0)</f>
        <v>6999</v>
      </c>
      <c r="D64" s="63">
        <f t="shared" ref="D64:L64" si="19">IFERROR(SUM(D61:D63),0)</f>
        <v>5454</v>
      </c>
      <c r="E64" s="63">
        <f t="shared" si="19"/>
        <v>7308</v>
      </c>
      <c r="F64" s="63">
        <f t="shared" si="19"/>
        <v>8147</v>
      </c>
      <c r="G64" s="63">
        <f t="shared" si="19"/>
        <v>9029</v>
      </c>
      <c r="H64" s="63">
        <f t="shared" si="19"/>
        <v>9808</v>
      </c>
      <c r="I64" s="63">
        <f t="shared" si="19"/>
        <v>10178</v>
      </c>
      <c r="J64" s="63">
        <f t="shared" si="19"/>
        <v>12008</v>
      </c>
      <c r="K64" s="63">
        <f t="shared" si="19"/>
        <v>14578</v>
      </c>
      <c r="L64" s="63">
        <f t="shared" si="19"/>
        <v>15788</v>
      </c>
    </row>
    <row r="65" spans="1:13" x14ac:dyDescent="0.3"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3" x14ac:dyDescent="0.3">
      <c r="B66" s="35" t="s">
        <v>88</v>
      </c>
      <c r="C66" s="38">
        <f>IFERROR(SUM(C59,C64),0)</f>
        <v>14793</v>
      </c>
      <c r="D66" s="38">
        <f t="shared" ref="D66:L66" si="20">IFERROR(SUM(D59,D64),0)</f>
        <v>15706</v>
      </c>
      <c r="E66" s="38">
        <f t="shared" si="20"/>
        <v>17862</v>
      </c>
      <c r="F66" s="38">
        <f t="shared" si="20"/>
        <v>18629</v>
      </c>
      <c r="G66" s="38">
        <f t="shared" si="20"/>
        <v>20153</v>
      </c>
      <c r="H66" s="38">
        <f t="shared" si="20"/>
        <v>68740</v>
      </c>
      <c r="I66" s="38">
        <f t="shared" si="20"/>
        <v>70506</v>
      </c>
      <c r="J66" s="38">
        <f t="shared" si="20"/>
        <v>73077</v>
      </c>
      <c r="K66" s="38">
        <f t="shared" si="20"/>
        <v>78489</v>
      </c>
      <c r="L66" s="38">
        <f t="shared" si="20"/>
        <v>79863</v>
      </c>
      <c r="M66" s="24"/>
    </row>
    <row r="68" spans="1:13" x14ac:dyDescent="0.3">
      <c r="B68" s="4" t="s">
        <v>89</v>
      </c>
      <c r="C68" s="4" t="b">
        <f>C53=C66</f>
        <v>1</v>
      </c>
      <c r="D68" s="4" t="b">
        <f t="shared" ref="D68:L68" si="21">D53=D66</f>
        <v>1</v>
      </c>
      <c r="E68" s="4" t="b">
        <f t="shared" si="21"/>
        <v>1</v>
      </c>
      <c r="F68" s="4" t="b">
        <f t="shared" si="21"/>
        <v>1</v>
      </c>
      <c r="G68" s="4" t="b">
        <f t="shared" si="21"/>
        <v>1</v>
      </c>
      <c r="H68" s="4" t="b">
        <f t="shared" si="21"/>
        <v>1</v>
      </c>
      <c r="I68" s="4" t="b">
        <f t="shared" si="21"/>
        <v>1</v>
      </c>
      <c r="J68" s="4" t="b">
        <f t="shared" si="21"/>
        <v>1</v>
      </c>
      <c r="K68" s="4" t="b">
        <f t="shared" si="21"/>
        <v>1</v>
      </c>
      <c r="L68" s="4" t="b">
        <f t="shared" si="21"/>
        <v>1</v>
      </c>
    </row>
    <row r="71" spans="1:13" x14ac:dyDescent="0.3">
      <c r="A71" t="s">
        <v>5</v>
      </c>
      <c r="B71" s="5" t="s">
        <v>115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">
      <c r="B72" s="1" t="s">
        <v>116</v>
      </c>
    </row>
    <row r="73" spans="1:13" x14ac:dyDescent="0.3">
      <c r="B73" s="32" t="s">
        <v>90</v>
      </c>
      <c r="C73" s="22">
        <f>IFERROR('cash flow data'!E4,0)</f>
        <v>6025</v>
      </c>
      <c r="D73" s="22">
        <f>IFERROR('cash flow data'!F4,0)</f>
        <v>6512</v>
      </c>
      <c r="E73" s="22">
        <f>IFERROR('cash flow data'!G4,0)</f>
        <v>7485</v>
      </c>
      <c r="F73" s="22">
        <f>IFERROR('cash flow data'!H4,0)</f>
        <v>8909</v>
      </c>
      <c r="G73" s="22">
        <f>IFERROR('cash flow data'!I4,0)</f>
        <v>9723</v>
      </c>
      <c r="H73" s="22">
        <f>IFERROR('cash flow data'!J4,0)</f>
        <v>11672</v>
      </c>
      <c r="I73" s="22">
        <f>IFERROR('cash flow data'!K4,0)</f>
        <v>12829</v>
      </c>
      <c r="J73" s="22">
        <f>IFERROR('cash flow data'!L4,0)</f>
        <v>14089</v>
      </c>
      <c r="K73" s="22">
        <f>IFERROR('cash flow data'!M4,0)</f>
        <v>14537</v>
      </c>
      <c r="L73" s="22">
        <f>IFERROR('cash flow data'!N4,0)</f>
        <v>14942</v>
      </c>
    </row>
    <row r="74" spans="1:13" x14ac:dyDescent="0.3">
      <c r="B74" s="32" t="s">
        <v>46</v>
      </c>
      <c r="C74" s="22">
        <f>IFERROR('cash flow data'!E5,0)</f>
        <v>-257</v>
      </c>
      <c r="D74" s="22">
        <f>IFERROR('cash flow data'!F5,0)</f>
        <v>173</v>
      </c>
      <c r="E74" s="22">
        <f>IFERROR('cash flow data'!G5,0)</f>
        <v>0</v>
      </c>
      <c r="F74" s="22">
        <f>IFERROR('cash flow data'!H5,0)</f>
        <v>0</v>
      </c>
      <c r="G74" s="22">
        <f>IFERROR('cash flow data'!I5,0)</f>
        <v>0</v>
      </c>
      <c r="H74" s="22">
        <f>IFERROR('cash flow data'!J5,0)</f>
        <v>0</v>
      </c>
      <c r="I74" s="22">
        <f>IFERROR('cash flow data'!K5,0)</f>
        <v>0</v>
      </c>
      <c r="J74" s="22">
        <f>IFERROR('cash flow data'!L5,0)</f>
        <v>0</v>
      </c>
      <c r="K74" s="22">
        <f>IFERROR('cash flow data'!M5,0)</f>
        <v>0</v>
      </c>
      <c r="L74" s="22">
        <f>IFERROR('cash flow data'!N5,0)</f>
        <v>0</v>
      </c>
    </row>
    <row r="75" spans="1:13" x14ac:dyDescent="0.3">
      <c r="B75" s="32" t="s">
        <v>47</v>
      </c>
      <c r="C75" s="22">
        <f>IFERROR('cash flow data'!E6,0)</f>
        <v>89</v>
      </c>
      <c r="D75" s="22">
        <f>IFERROR('cash flow data'!F6,0)</f>
        <v>37</v>
      </c>
      <c r="E75" s="22">
        <f>IFERROR('cash flow data'!G6,0)</f>
        <v>-146</v>
      </c>
      <c r="F75" s="22">
        <f>IFERROR('cash flow data'!H6,0)</f>
        <v>-195</v>
      </c>
      <c r="G75" s="22">
        <f>IFERROR('cash flow data'!I6,0)</f>
        <v>-331</v>
      </c>
      <c r="H75" s="22">
        <f>IFERROR('cash flow data'!J6,0)</f>
        <v>-543</v>
      </c>
      <c r="I75" s="22">
        <f>IFERROR('cash flow data'!K6,0)</f>
        <v>-758</v>
      </c>
      <c r="J75" s="22">
        <f>IFERROR('cash flow data'!L6,0)</f>
        <v>-339</v>
      </c>
      <c r="K75" s="22">
        <f>IFERROR('cash flow data'!M6,0)</f>
        <v>74</v>
      </c>
      <c r="L75" s="22">
        <f>IFERROR('cash flow data'!N6,0)</f>
        <v>-584</v>
      </c>
      <c r="M75" s="22"/>
    </row>
    <row r="76" spans="1:13" x14ac:dyDescent="0.3">
      <c r="B76" s="32" t="s">
        <v>91</v>
      </c>
      <c r="C76" s="22">
        <f>IFERROR('cash flow data'!E7,0)</f>
        <v>164</v>
      </c>
      <c r="D76" s="22">
        <f>IFERROR('cash flow data'!F7,0)</f>
        <v>501</v>
      </c>
      <c r="E76" s="22">
        <f>IFERROR('cash flow data'!G7,0)</f>
        <v>0</v>
      </c>
      <c r="F76" s="22">
        <f>IFERROR('cash flow data'!H7,0)</f>
        <v>0</v>
      </c>
      <c r="G76" s="22">
        <f>IFERROR('cash flow data'!I7,0)</f>
        <v>0</v>
      </c>
      <c r="H76" s="22">
        <f>IFERROR('cash flow data'!J7,0)</f>
        <v>0</v>
      </c>
      <c r="I76" s="22">
        <f>IFERROR('cash flow data'!K7,0)</f>
        <v>0</v>
      </c>
      <c r="J76" s="22">
        <f>IFERROR('cash flow data'!L7,0)</f>
        <v>0</v>
      </c>
      <c r="K76" s="22">
        <f>IFERROR('cash flow data'!M7,0)</f>
        <v>0</v>
      </c>
      <c r="L76" s="22">
        <f>IFERROR('cash flow data'!N7,0)</f>
        <v>0</v>
      </c>
      <c r="M76" s="22"/>
    </row>
    <row r="77" spans="1:13" x14ac:dyDescent="0.3">
      <c r="B77" s="32" t="s">
        <v>92</v>
      </c>
      <c r="C77" s="22">
        <f>IFERROR('cash flow data'!E8,0)</f>
        <v>0</v>
      </c>
      <c r="D77" s="22">
        <f>IFERROR('cash flow data'!F8,0)</f>
        <v>0</v>
      </c>
      <c r="E77" s="22">
        <f>IFERROR('cash flow data'!G8,0)</f>
        <v>0</v>
      </c>
      <c r="F77" s="22">
        <f>IFERROR('cash flow data'!H8,0)</f>
        <v>0</v>
      </c>
      <c r="G77" s="22">
        <f>IFERROR('cash flow data'!I8,0)</f>
        <v>0</v>
      </c>
      <c r="H77" s="22">
        <f>IFERROR('cash flow data'!J8,0)</f>
        <v>0</v>
      </c>
      <c r="I77" s="22">
        <f>IFERROR('cash flow data'!K8,0)</f>
        <v>0</v>
      </c>
      <c r="J77" s="22">
        <f>IFERROR('cash flow data'!L8,0)</f>
        <v>0</v>
      </c>
      <c r="K77" s="22">
        <f>IFERROR('cash flow data'!M8,0)</f>
        <v>0</v>
      </c>
      <c r="L77" s="22">
        <f>IFERROR('cash flow data'!N8,0)</f>
        <v>0</v>
      </c>
      <c r="M77" s="22"/>
    </row>
    <row r="78" spans="1:13" x14ac:dyDescent="0.3">
      <c r="B78" s="32" t="s">
        <v>159</v>
      </c>
      <c r="C78" s="22">
        <f>IFERROR('cash flow data'!E9,0)</f>
        <v>0</v>
      </c>
      <c r="D78" s="22">
        <f>IFERROR('cash flow data'!F9,0)</f>
        <v>-46</v>
      </c>
      <c r="E78" s="22">
        <f>IFERROR('cash flow data'!G9,0)</f>
        <v>0</v>
      </c>
      <c r="F78" s="22">
        <f>IFERROR('cash flow data'!H9,0)</f>
        <v>0</v>
      </c>
      <c r="G78" s="22">
        <f>IFERROR('cash flow data'!I9,0)</f>
        <v>0</v>
      </c>
      <c r="H78" s="22">
        <f>IFERROR('cash flow data'!J9,0)</f>
        <v>0</v>
      </c>
      <c r="I78" s="22">
        <f>IFERROR('cash flow data'!K9,0)</f>
        <v>0</v>
      </c>
      <c r="J78" s="22">
        <f>IFERROR('cash flow data'!L9,0)</f>
        <v>0</v>
      </c>
      <c r="K78" s="22">
        <f>IFERROR('cash flow data'!M9,0)</f>
        <v>0</v>
      </c>
      <c r="L78" s="22">
        <f>IFERROR('cash flow data'!N9,0)</f>
        <v>0</v>
      </c>
      <c r="M78" s="22"/>
    </row>
    <row r="79" spans="1:13" x14ac:dyDescent="0.3">
      <c r="B79" s="32" t="s">
        <v>93</v>
      </c>
      <c r="C79" s="22">
        <f>IFERROR('cash flow data'!E10,0)</f>
        <v>-77</v>
      </c>
      <c r="D79" s="22">
        <f>IFERROR('cash flow data'!F10,0)</f>
        <v>-99</v>
      </c>
      <c r="E79" s="22">
        <f>IFERROR('cash flow data'!G10,0)</f>
        <v>982</v>
      </c>
      <c r="F79" s="22">
        <f>IFERROR('cash flow data'!H10,0)</f>
        <v>-147</v>
      </c>
      <c r="G79" s="22">
        <f>IFERROR('cash flow data'!I10,0)</f>
        <v>742</v>
      </c>
      <c r="H79" s="22">
        <f>IFERROR('cash flow data'!J10,0)</f>
        <v>442</v>
      </c>
      <c r="I79" s="22">
        <f>IFERROR('cash flow data'!K10,0)</f>
        <v>-242</v>
      </c>
      <c r="J79" s="22">
        <f>IFERROR('cash flow data'!L10,0)</f>
        <v>-621</v>
      </c>
      <c r="K79" s="22">
        <f>IFERROR('cash flow data'!M10,0)</f>
        <v>1239</v>
      </c>
      <c r="L79" s="22">
        <f>IFERROR('cash flow data'!N10,0)</f>
        <v>-204</v>
      </c>
      <c r="M79" s="22"/>
    </row>
    <row r="80" spans="1:13" x14ac:dyDescent="0.3">
      <c r="B80" s="32" t="s">
        <v>94</v>
      </c>
      <c r="C80" s="22">
        <f>IFERROR('cash flow data'!E11,0)</f>
        <v>-81</v>
      </c>
      <c r="D80" s="22">
        <f>IFERROR('cash flow data'!F11,0)</f>
        <v>566</v>
      </c>
      <c r="E80" s="22">
        <f>IFERROR('cash flow data'!G11,0)</f>
        <v>836</v>
      </c>
      <c r="F80" s="22">
        <f>IFERROR('cash flow data'!H11,0)</f>
        <v>-342</v>
      </c>
      <c r="G80" s="22">
        <f>IFERROR('cash flow data'!I11,0)</f>
        <v>411</v>
      </c>
      <c r="H80" s="22">
        <f>IFERROR('cash flow data'!J11,0)</f>
        <v>-101</v>
      </c>
      <c r="I80" s="22">
        <f>IFERROR('cash flow data'!K11,0)</f>
        <v>-1000</v>
      </c>
      <c r="J80" s="22">
        <f>IFERROR('cash flow data'!L11,0)</f>
        <v>-960</v>
      </c>
      <c r="K80" s="22">
        <f>IFERROR('cash flow data'!M11,0)</f>
        <v>1313</v>
      </c>
      <c r="L80" s="22">
        <f>IFERROR('cash flow data'!N11,0)</f>
        <v>-788</v>
      </c>
      <c r="M80" s="22"/>
    </row>
    <row r="81" spans="2:13" x14ac:dyDescent="0.3">
      <c r="B81" s="32" t="s">
        <v>95</v>
      </c>
      <c r="C81" s="22">
        <f>IFERROR('cash flow data'!E12,0)</f>
        <v>-1765</v>
      </c>
      <c r="D81" s="22">
        <f>IFERROR('cash flow data'!F12,0)</f>
        <v>-1859</v>
      </c>
      <c r="E81" s="22">
        <f>IFERROR('cash flow data'!G12,0)</f>
        <v>-2264</v>
      </c>
      <c r="F81" s="22">
        <f>IFERROR('cash flow data'!H12,0)</f>
        <v>-2767</v>
      </c>
      <c r="G81" s="22">
        <f>IFERROR('cash flow data'!I12,0)</f>
        <v>-2505</v>
      </c>
      <c r="H81" s="22">
        <f>IFERROR('cash flow data'!J12,0)</f>
        <v>-2407</v>
      </c>
      <c r="I81" s="22">
        <f>IFERROR('cash flow data'!K12,0)</f>
        <v>-2784</v>
      </c>
      <c r="J81" s="22">
        <f>IFERROR('cash flow data'!L12,0)</f>
        <v>-3138</v>
      </c>
      <c r="K81" s="22">
        <f>IFERROR('cash flow data'!M12,0)</f>
        <v>-381</v>
      </c>
      <c r="L81" s="22">
        <f>IFERROR('cash flow data'!N12,0)</f>
        <v>-2268</v>
      </c>
      <c r="M81" s="22"/>
    </row>
    <row r="82" spans="2:13" x14ac:dyDescent="0.3">
      <c r="B82" s="32" t="s">
        <v>160</v>
      </c>
      <c r="C82" s="22">
        <f>IFERROR('cash flow data'!E13,0)</f>
        <v>-8</v>
      </c>
      <c r="D82" s="22">
        <f>IFERROR('cash flow data'!F13,0)</f>
        <v>-21</v>
      </c>
      <c r="E82" s="22">
        <f>IFERROR('cash flow data'!G13,0)</f>
        <v>0</v>
      </c>
      <c r="F82" s="22">
        <f>IFERROR('cash flow data'!H13,0)</f>
        <v>0</v>
      </c>
      <c r="G82" s="22">
        <f>IFERROR('cash flow data'!I13,0)</f>
        <v>0</v>
      </c>
      <c r="H82" s="22">
        <f>IFERROR('cash flow data'!J13,0)</f>
        <v>0</v>
      </c>
      <c r="I82" s="22">
        <f>IFERROR('cash flow data'!K13,0)</f>
        <v>0</v>
      </c>
      <c r="J82" s="22">
        <f>IFERROR('cash flow data'!L13,0)</f>
        <v>0</v>
      </c>
      <c r="K82" s="22">
        <f>IFERROR('cash flow data'!M13,0)</f>
        <v>0</v>
      </c>
      <c r="L82" s="22">
        <f>IFERROR('cash flow data'!N13,0)</f>
        <v>0</v>
      </c>
      <c r="M82" s="22"/>
    </row>
    <row r="83" spans="2:13" x14ac:dyDescent="0.3">
      <c r="B83" s="32" t="s">
        <v>161</v>
      </c>
      <c r="C83" s="22">
        <f>IFERROR('cash flow data'!E14,0)</f>
        <v>0</v>
      </c>
      <c r="D83" s="22">
        <f>IFERROR('cash flow data'!F14,0)</f>
        <v>-13</v>
      </c>
      <c r="E83" s="22">
        <f>IFERROR('cash flow data'!G14,0)</f>
        <v>2</v>
      </c>
      <c r="F83" s="22">
        <f>IFERROR('cash flow data'!H14,0)</f>
        <v>0</v>
      </c>
      <c r="G83" s="22">
        <f>IFERROR('cash flow data'!I14,0)</f>
        <v>-6</v>
      </c>
      <c r="H83" s="22">
        <f>IFERROR('cash flow data'!J14,0)</f>
        <v>-1</v>
      </c>
      <c r="I83" s="22">
        <f>IFERROR('cash flow data'!K14,0)</f>
        <v>3</v>
      </c>
      <c r="J83" s="22">
        <f>IFERROR('cash flow data'!L14,0)</f>
        <v>0</v>
      </c>
      <c r="K83" s="22">
        <f>IFERROR('cash flow data'!M14,0)</f>
        <v>0</v>
      </c>
      <c r="L83" s="22">
        <f>IFERROR('cash flow data'!N14,0)</f>
        <v>0</v>
      </c>
      <c r="M83" s="22"/>
    </row>
    <row r="84" spans="2:13" x14ac:dyDescent="0.3">
      <c r="B84" s="1" t="s">
        <v>117</v>
      </c>
      <c r="C84" s="64">
        <f>IFERROR(SUM(C73:C83),0)</f>
        <v>4090</v>
      </c>
      <c r="D84" s="64">
        <f t="shared" ref="D84:L84" si="22">IFERROR(SUM(D73:D83),0)</f>
        <v>5751</v>
      </c>
      <c r="E84" s="64">
        <f t="shared" si="22"/>
        <v>6895</v>
      </c>
      <c r="F84" s="64">
        <f t="shared" si="22"/>
        <v>5458</v>
      </c>
      <c r="G84" s="64">
        <f t="shared" si="22"/>
        <v>8034</v>
      </c>
      <c r="H84" s="64">
        <f t="shared" si="22"/>
        <v>9062</v>
      </c>
      <c r="I84" s="64">
        <f t="shared" si="22"/>
        <v>8048</v>
      </c>
      <c r="J84" s="64">
        <f t="shared" si="22"/>
        <v>9031</v>
      </c>
      <c r="K84" s="64">
        <f t="shared" si="22"/>
        <v>16782</v>
      </c>
      <c r="L84" s="64">
        <f t="shared" si="22"/>
        <v>11098</v>
      </c>
      <c r="M84" s="22"/>
    </row>
    <row r="85" spans="2:13" x14ac:dyDescent="0.3">
      <c r="B85" s="26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2:13" x14ac:dyDescent="0.3">
      <c r="B86" s="33" t="s">
        <v>118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2:13" x14ac:dyDescent="0.3">
      <c r="B87" s="32" t="s">
        <v>96</v>
      </c>
      <c r="C87" s="22">
        <f>IFERROR('cash flow data'!E16,0)</f>
        <v>-810</v>
      </c>
      <c r="D87" s="22">
        <f>IFERROR('cash flow data'!F16,0)</f>
        <v>-1113</v>
      </c>
      <c r="E87" s="22">
        <f>IFERROR('cash flow data'!G16,0)</f>
        <v>-895</v>
      </c>
      <c r="F87" s="22">
        <f>IFERROR('cash flow data'!H16,0)</f>
        <v>-767</v>
      </c>
      <c r="G87" s="22">
        <f>IFERROR('cash flow data'!I16,0)</f>
        <v>-862</v>
      </c>
      <c r="H87" s="22">
        <f>IFERROR('cash flow data'!J16,0)</f>
        <v>-4163</v>
      </c>
      <c r="I87" s="22">
        <f>IFERROR('cash flow data'!K16,0)</f>
        <v>-1228</v>
      </c>
      <c r="J87" s="22">
        <f>IFERROR('cash flow data'!L16,0)</f>
        <v>-1192</v>
      </c>
      <c r="K87" s="22">
        <f>IFERROR('cash flow data'!M16,0)</f>
        <v>-1477</v>
      </c>
      <c r="L87" s="22">
        <f>IFERROR('cash flow data'!N16,0)</f>
        <v>-1275</v>
      </c>
      <c r="M87" s="22"/>
    </row>
    <row r="88" spans="2:13" x14ac:dyDescent="0.3">
      <c r="B88" s="32" t="s">
        <v>97</v>
      </c>
      <c r="C88" s="22">
        <f>IFERROR('cash flow data'!E17,0)</f>
        <v>99</v>
      </c>
      <c r="D88" s="22">
        <f>IFERROR('cash flow data'!F17,0)</f>
        <v>176</v>
      </c>
      <c r="E88" s="22">
        <f>IFERROR('cash flow data'!G17,0)</f>
        <v>32</v>
      </c>
      <c r="F88" s="22">
        <f>IFERROR('cash flow data'!H17,0)</f>
        <v>13</v>
      </c>
      <c r="G88" s="22">
        <f>IFERROR('cash flow data'!I17,0)</f>
        <v>52</v>
      </c>
      <c r="H88" s="22">
        <f>IFERROR('cash flow data'!J17,0)</f>
        <v>97</v>
      </c>
      <c r="I88" s="22">
        <f>IFERROR('cash flow data'!K17,0)</f>
        <v>175</v>
      </c>
      <c r="J88" s="22">
        <f>IFERROR('cash flow data'!L17,0)</f>
        <v>181</v>
      </c>
      <c r="K88" s="22">
        <f>IFERROR('cash flow data'!M17,0)</f>
        <v>20</v>
      </c>
      <c r="L88" s="22">
        <f>IFERROR('cash flow data'!N17,0)</f>
        <v>13</v>
      </c>
      <c r="M88" s="22"/>
    </row>
    <row r="89" spans="2:13" x14ac:dyDescent="0.3">
      <c r="B89" s="32" t="s">
        <v>98</v>
      </c>
      <c r="C89" s="22">
        <f>IFERROR('cash flow data'!E18,0)</f>
        <v>-20666</v>
      </c>
      <c r="D89" s="22">
        <f>IFERROR('cash flow data'!F18,0)</f>
        <v>-31214</v>
      </c>
      <c r="E89" s="22">
        <f>IFERROR('cash flow data'!G18,0)</f>
        <v>-51855</v>
      </c>
      <c r="F89" s="22">
        <f>IFERROR('cash flow data'!H18,0)</f>
        <v>-74365</v>
      </c>
      <c r="G89" s="22">
        <f>IFERROR('cash flow data'!I18,0)</f>
        <v>-36090</v>
      </c>
      <c r="H89" s="22">
        <f>IFERROR('cash flow data'!J18,0)</f>
        <v>-39920</v>
      </c>
      <c r="I89" s="22">
        <f>IFERROR('cash flow data'!K18,0)</f>
        <v>-48522</v>
      </c>
      <c r="J89" s="22">
        <f>IFERROR('cash flow data'!L18,0)</f>
        <v>-22649</v>
      </c>
      <c r="K89" s="22">
        <f>IFERROR('cash flow data'!M18,0)</f>
        <v>-21337</v>
      </c>
      <c r="L89" s="22">
        <f>IFERROR('cash flow data'!N18,0)</f>
        <v>-22957</v>
      </c>
      <c r="M89" s="22"/>
    </row>
    <row r="90" spans="2:13" x14ac:dyDescent="0.3">
      <c r="B90" s="32" t="s">
        <v>99</v>
      </c>
      <c r="C90" s="22">
        <f>IFERROR('cash flow data'!E19,0)</f>
        <v>20937</v>
      </c>
      <c r="D90" s="22">
        <f>IFERROR('cash flow data'!F19,0)</f>
        <v>30083</v>
      </c>
      <c r="E90" s="22">
        <f>IFERROR('cash flow data'!G19,0)</f>
        <v>52897</v>
      </c>
      <c r="F90" s="22">
        <f>IFERROR('cash flow data'!H19,0)</f>
        <v>74691</v>
      </c>
      <c r="G90" s="22">
        <f>IFERROR('cash flow data'!I19,0)</f>
        <v>37690</v>
      </c>
      <c r="H90" s="22">
        <f>IFERROR('cash flow data'!J19,0)</f>
        <v>38486</v>
      </c>
      <c r="I90" s="22">
        <f>IFERROR('cash flow data'!K19,0)</f>
        <v>47786</v>
      </c>
      <c r="J90" s="22">
        <f>IFERROR('cash flow data'!L19,0)</f>
        <v>23462</v>
      </c>
      <c r="K90" s="22">
        <f>IFERROR('cash flow data'!M19,0)</f>
        <v>19846</v>
      </c>
      <c r="L90" s="22">
        <f>IFERROR('cash flow data'!N19,0)</f>
        <v>23987</v>
      </c>
      <c r="M90" s="22"/>
    </row>
    <row r="91" spans="2:13" x14ac:dyDescent="0.3">
      <c r="B91" s="32" t="s">
        <v>100</v>
      </c>
      <c r="C91" s="22">
        <f>IFERROR('cash flow data'!E20,0)</f>
        <v>315</v>
      </c>
      <c r="D91" s="22">
        <f>IFERROR('cash flow data'!F20,0)</f>
        <v>264</v>
      </c>
      <c r="E91" s="22">
        <f>IFERROR('cash flow data'!G20,0)</f>
        <v>297</v>
      </c>
      <c r="F91" s="22">
        <f>IFERROR('cash flow data'!H20,0)</f>
        <v>289</v>
      </c>
      <c r="G91" s="22">
        <f>IFERROR('cash flow data'!I20,0)</f>
        <v>351</v>
      </c>
      <c r="H91" s="22">
        <f>IFERROR('cash flow data'!J20,0)</f>
        <v>277</v>
      </c>
      <c r="I91" s="22">
        <f>IFERROR('cash flow data'!K20,0)</f>
        <v>161</v>
      </c>
      <c r="J91" s="22">
        <f>IFERROR('cash flow data'!L20,0)</f>
        <v>259</v>
      </c>
      <c r="K91" s="22">
        <f>IFERROR('cash flow data'!M20,0)</f>
        <v>425</v>
      </c>
      <c r="L91" s="22">
        <f>IFERROR('cash flow data'!N20,0)</f>
        <v>835</v>
      </c>
      <c r="M91" s="22"/>
    </row>
    <row r="92" spans="2:13" x14ac:dyDescent="0.3">
      <c r="B92" s="32" t="s">
        <v>101</v>
      </c>
      <c r="C92" s="22">
        <f>IFERROR('cash flow data'!E21,0)</f>
        <v>33</v>
      </c>
      <c r="D92" s="22">
        <f>IFERROR('cash flow data'!F21,0)</f>
        <v>14</v>
      </c>
      <c r="E92" s="22">
        <f>IFERROR('cash flow data'!G21,0)</f>
        <v>0</v>
      </c>
      <c r="F92" s="22">
        <f>IFERROR('cash flow data'!H21,0)</f>
        <v>1</v>
      </c>
      <c r="G92" s="22">
        <f>IFERROR('cash flow data'!I21,0)</f>
        <v>1</v>
      </c>
      <c r="H92" s="22">
        <f>IFERROR('cash flow data'!J21,0)</f>
        <v>1</v>
      </c>
      <c r="I92" s="22">
        <f>IFERROR('cash flow data'!K21,0)</f>
        <v>1</v>
      </c>
      <c r="J92" s="22">
        <f>IFERROR('cash flow data'!L21,0)</f>
        <v>2</v>
      </c>
      <c r="K92" s="22">
        <f>IFERROR('cash flow data'!M21,0)</f>
        <v>3</v>
      </c>
      <c r="L92" s="22">
        <f>IFERROR('cash flow data'!N21,0)</f>
        <v>0</v>
      </c>
      <c r="M92" s="22"/>
    </row>
    <row r="93" spans="2:13" x14ac:dyDescent="0.3">
      <c r="B93" s="32" t="s">
        <v>162</v>
      </c>
      <c r="C93" s="22">
        <f>IFERROR('cash flow data'!E22,0)</f>
        <v>0</v>
      </c>
      <c r="D93" s="22">
        <f>IFERROR('cash flow data'!F22,0)</f>
        <v>0</v>
      </c>
      <c r="E93" s="22">
        <f>IFERROR('cash flow data'!G22,0)</f>
        <v>0</v>
      </c>
      <c r="F93" s="22">
        <f>IFERROR('cash flow data'!H22,0)</f>
        <v>0</v>
      </c>
      <c r="G93" s="22">
        <f>IFERROR('cash flow data'!I22,0)</f>
        <v>0</v>
      </c>
      <c r="H93" s="22">
        <f>IFERROR('cash flow data'!J22,0)</f>
        <v>0</v>
      </c>
      <c r="I93" s="22">
        <f>IFERROR('cash flow data'!K22,0)</f>
        <v>0</v>
      </c>
      <c r="J93" s="22">
        <f>IFERROR('cash flow data'!L22,0)</f>
        <v>0</v>
      </c>
      <c r="K93" s="22">
        <f>IFERROR('cash flow data'!M22,0)</f>
        <v>0</v>
      </c>
      <c r="L93" s="22">
        <f>IFERROR('cash flow data'!N22,0)</f>
        <v>0</v>
      </c>
      <c r="M93" s="22"/>
    </row>
    <row r="94" spans="2:13" x14ac:dyDescent="0.3">
      <c r="B94" s="32" t="s">
        <v>163</v>
      </c>
      <c r="C94" s="22">
        <f>IFERROR('cash flow data'!E23,0)</f>
        <v>0</v>
      </c>
      <c r="D94" s="22">
        <f>IFERROR('cash flow data'!F23,0)</f>
        <v>0</v>
      </c>
      <c r="E94" s="22">
        <f>IFERROR('cash flow data'!G23,0)</f>
        <v>0</v>
      </c>
      <c r="F94" s="22">
        <f>IFERROR('cash flow data'!H23,0)</f>
        <v>0</v>
      </c>
      <c r="G94" s="22">
        <f>IFERROR('cash flow data'!I23,0)</f>
        <v>0</v>
      </c>
      <c r="H94" s="22">
        <f>IFERROR('cash flow data'!J23,0)</f>
        <v>0</v>
      </c>
      <c r="I94" s="22">
        <f>IFERROR('cash flow data'!K23,0)</f>
        <v>0</v>
      </c>
      <c r="J94" s="22">
        <f>IFERROR('cash flow data'!L23,0)</f>
        <v>0</v>
      </c>
      <c r="K94" s="22">
        <f>IFERROR('cash flow data'!M23,0)</f>
        <v>0</v>
      </c>
      <c r="L94" s="22">
        <f>IFERROR('cash flow data'!N23,0)</f>
        <v>0</v>
      </c>
      <c r="M94" s="22"/>
    </row>
    <row r="95" spans="2:13" x14ac:dyDescent="0.3">
      <c r="B95" s="32" t="s">
        <v>102</v>
      </c>
      <c r="C95" s="22">
        <f>IFERROR('cash flow data'!E24,0)</f>
        <v>161</v>
      </c>
      <c r="D95" s="22">
        <f>IFERROR('cash flow data'!F24,0)</f>
        <v>20</v>
      </c>
      <c r="E95" s="22">
        <f>IFERROR('cash flow data'!G24,0)</f>
        <v>73</v>
      </c>
      <c r="F95" s="22">
        <f>IFERROR('cash flow data'!H24,0)</f>
        <v>0</v>
      </c>
      <c r="G95" s="22">
        <f>IFERROR('cash flow data'!I24,0)</f>
        <v>0</v>
      </c>
      <c r="H95" s="22">
        <f>IFERROR('cash flow data'!J24,0)</f>
        <v>0</v>
      </c>
      <c r="I95" s="22">
        <f>IFERROR('cash flow data'!K24,0)</f>
        <v>0</v>
      </c>
      <c r="J95" s="22">
        <f>IFERROR('cash flow data'!L24,0)</f>
        <v>0</v>
      </c>
      <c r="K95" s="22">
        <f>IFERROR('cash flow data'!M24,0)</f>
        <v>0</v>
      </c>
      <c r="L95" s="22">
        <f>IFERROR('cash flow data'!N24,0)</f>
        <v>0</v>
      </c>
      <c r="M95" s="22"/>
    </row>
    <row r="96" spans="2:13" x14ac:dyDescent="0.3">
      <c r="B96" s="32" t="s">
        <v>103</v>
      </c>
      <c r="C96" s="22">
        <f>IFERROR('cash flow data'!E25,0)</f>
        <v>0</v>
      </c>
      <c r="D96" s="22">
        <f>IFERROR('cash flow data'!F25,0)</f>
        <v>0</v>
      </c>
      <c r="E96" s="22">
        <f>IFERROR('cash flow data'!G25,0)</f>
        <v>0</v>
      </c>
      <c r="F96" s="22">
        <f>IFERROR('cash flow data'!H25,0)</f>
        <v>0</v>
      </c>
      <c r="G96" s="22">
        <f>IFERROR('cash flow data'!I25,0)</f>
        <v>0</v>
      </c>
      <c r="H96" s="22">
        <f>IFERROR('cash flow data'!J25,0)</f>
        <v>0</v>
      </c>
      <c r="I96" s="22">
        <f>IFERROR('cash flow data'!K25,0)</f>
        <v>0</v>
      </c>
      <c r="J96" s="22">
        <f>IFERROR('cash flow data'!L25,0)</f>
        <v>-334</v>
      </c>
      <c r="K96" s="22">
        <f>IFERROR('cash flow data'!M25,0)</f>
        <v>0</v>
      </c>
      <c r="L96" s="22">
        <f>IFERROR('cash flow data'!N25,0)</f>
        <v>0</v>
      </c>
      <c r="M96" s="22"/>
    </row>
    <row r="97" spans="2:13" x14ac:dyDescent="0.3">
      <c r="B97" s="32" t="s">
        <v>104</v>
      </c>
      <c r="C97" s="22">
        <f>IFERROR('cash flow data'!E26,0)</f>
        <v>-351</v>
      </c>
      <c r="D97" s="22">
        <f>IFERROR('cash flow data'!F26,0)</f>
        <v>597</v>
      </c>
      <c r="E97" s="22">
        <f>IFERROR('cash flow data'!G26,0)</f>
        <v>-1612</v>
      </c>
      <c r="F97" s="22">
        <f>IFERROR('cash flow data'!H26,0)</f>
        <v>-300</v>
      </c>
      <c r="G97" s="22">
        <f>IFERROR('cash flow data'!I26,0)</f>
        <v>649</v>
      </c>
      <c r="H97" s="22">
        <f>IFERROR('cash flow data'!J26,0)</f>
        <v>3994</v>
      </c>
      <c r="I97" s="22">
        <f>IFERROR('cash flow data'!K26,0)</f>
        <v>-101</v>
      </c>
      <c r="J97" s="22">
        <f>IFERROR('cash flow data'!L26,0)</f>
        <v>-1213</v>
      </c>
      <c r="K97" s="22">
        <f>IFERROR('cash flow data'!M26,0)</f>
        <v>-2804</v>
      </c>
      <c r="L97" s="22">
        <f>IFERROR('cash flow data'!N26,0)</f>
        <v>5870</v>
      </c>
      <c r="M97" s="22"/>
    </row>
    <row r="98" spans="2:13" x14ac:dyDescent="0.3">
      <c r="B98" s="33" t="s">
        <v>119</v>
      </c>
      <c r="C98" s="64">
        <f>IFERROR(SUM(C87:C97),0)</f>
        <v>-282</v>
      </c>
      <c r="D98" s="64">
        <f t="shared" ref="D98:L98" si="23">IFERROR(SUM(D87:D97),0)</f>
        <v>-1173</v>
      </c>
      <c r="E98" s="64">
        <f t="shared" si="23"/>
        <v>-1063</v>
      </c>
      <c r="F98" s="64">
        <f t="shared" si="23"/>
        <v>-438</v>
      </c>
      <c r="G98" s="64">
        <f t="shared" si="23"/>
        <v>1791</v>
      </c>
      <c r="H98" s="64">
        <f t="shared" si="23"/>
        <v>-1228</v>
      </c>
      <c r="I98" s="64">
        <f t="shared" si="23"/>
        <v>-1728</v>
      </c>
      <c r="J98" s="64">
        <f t="shared" si="23"/>
        <v>-1484</v>
      </c>
      <c r="K98" s="64">
        <f t="shared" si="23"/>
        <v>-5324</v>
      </c>
      <c r="L98" s="64">
        <f t="shared" si="23"/>
        <v>6473</v>
      </c>
      <c r="M98" s="22"/>
    </row>
    <row r="99" spans="2:13" x14ac:dyDescent="0.3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2:13" x14ac:dyDescent="0.3">
      <c r="B100" s="33" t="s">
        <v>121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2:13" x14ac:dyDescent="0.3">
      <c r="B101" s="32" t="s">
        <v>105</v>
      </c>
      <c r="C101" s="22">
        <f>IFERROR('cash flow data'!E28,0)</f>
        <v>0</v>
      </c>
      <c r="D101" s="22">
        <f>IFERROR('cash flow data'!F28,0)</f>
        <v>0</v>
      </c>
      <c r="E101" s="22">
        <f>IFERROR('cash flow data'!G28,0)</f>
        <v>0</v>
      </c>
      <c r="F101" s="22">
        <f>IFERROR('cash flow data'!H28,0)</f>
        <v>0</v>
      </c>
      <c r="G101" s="22">
        <f>IFERROR('cash flow data'!I28,0)</f>
        <v>0</v>
      </c>
      <c r="H101" s="22">
        <f>IFERROR('cash flow data'!J28,0)</f>
        <v>0</v>
      </c>
      <c r="I101" s="22">
        <f>IFERROR('cash flow data'!K28,0)</f>
        <v>0</v>
      </c>
      <c r="J101" s="22">
        <f>IFERROR('cash flow data'!L28,0)</f>
        <v>0</v>
      </c>
      <c r="K101" s="22">
        <f>IFERROR('cash flow data'!M28,0)</f>
        <v>0</v>
      </c>
      <c r="L101" s="22">
        <f>IFERROR('cash flow data'!N28,0)</f>
        <v>0</v>
      </c>
      <c r="M101" s="22"/>
    </row>
    <row r="102" spans="2:13" x14ac:dyDescent="0.3">
      <c r="B102" s="32" t="s">
        <v>106</v>
      </c>
      <c r="C102" s="22">
        <f>IFERROR('cash flow data'!E29,0)</f>
        <v>177</v>
      </c>
      <c r="D102" s="22">
        <f>IFERROR('cash flow data'!F29,0)</f>
        <v>460</v>
      </c>
      <c r="E102" s="22">
        <f>IFERROR('cash flow data'!G29,0)</f>
        <v>0</v>
      </c>
      <c r="F102" s="22">
        <f>IFERROR('cash flow data'!H29,0)</f>
        <v>99</v>
      </c>
      <c r="G102" s="22">
        <f>IFERROR('cash flow data'!I29,0)</f>
        <v>0</v>
      </c>
      <c r="H102" s="22">
        <f>IFERROR('cash flow data'!J29,0)</f>
        <v>188</v>
      </c>
      <c r="I102" s="22">
        <f>IFERROR('cash flow data'!K29,0)</f>
        <v>55</v>
      </c>
      <c r="J102" s="22">
        <f>IFERROR('cash flow data'!L29,0)</f>
        <v>286</v>
      </c>
      <c r="K102" s="22">
        <f>IFERROR('cash flow data'!M29,0)</f>
        <v>0</v>
      </c>
      <c r="L102" s="22">
        <f>IFERROR('cash flow data'!N29,0)</f>
        <v>0</v>
      </c>
      <c r="M102" s="22"/>
    </row>
    <row r="103" spans="2:13" x14ac:dyDescent="0.3">
      <c r="B103" s="32" t="s">
        <v>107</v>
      </c>
      <c r="C103" s="22">
        <f>IFERROR('cash flow data'!E30,0)</f>
        <v>0</v>
      </c>
      <c r="D103" s="22">
        <f>IFERROR('cash flow data'!F30,0)</f>
        <v>-360</v>
      </c>
      <c r="E103" s="22">
        <f>IFERROR('cash flow data'!G30,0)</f>
        <v>-277</v>
      </c>
      <c r="F103" s="22">
        <f>IFERROR('cash flow data'!H30,0)</f>
        <v>0</v>
      </c>
      <c r="G103" s="22">
        <f>IFERROR('cash flow data'!I30,0)</f>
        <v>-99</v>
      </c>
      <c r="H103" s="22">
        <f>IFERROR('cash flow data'!J30,0)</f>
        <v>-188</v>
      </c>
      <c r="I103" s="22">
        <f>IFERROR('cash flow data'!K30,0)</f>
        <v>-55</v>
      </c>
      <c r="J103" s="22">
        <f>IFERROR('cash flow data'!L30,0)</f>
        <v>-208</v>
      </c>
      <c r="K103" s="22">
        <f>IFERROR('cash flow data'!M30,0)</f>
        <v>-85</v>
      </c>
      <c r="L103" s="22">
        <f>IFERROR('cash flow data'!N30,0)</f>
        <v>0</v>
      </c>
      <c r="M103" s="22"/>
    </row>
    <row r="104" spans="2:13" x14ac:dyDescent="0.3">
      <c r="B104" s="32" t="s">
        <v>108</v>
      </c>
      <c r="C104" s="22">
        <f>IFERROR('cash flow data'!E31,0)</f>
        <v>-2</v>
      </c>
      <c r="D104" s="22">
        <f>IFERROR('cash flow data'!F31,0)</f>
        <v>-14</v>
      </c>
      <c r="E104" s="22">
        <f>IFERROR('cash flow data'!G31,0)</f>
        <v>-6</v>
      </c>
      <c r="F104" s="22">
        <f>IFERROR('cash flow data'!H31,0)</f>
        <v>-7</v>
      </c>
      <c r="G104" s="22">
        <f>IFERROR('cash flow data'!I31,0)</f>
        <v>-90</v>
      </c>
      <c r="H104" s="22">
        <f>IFERROR('cash flow data'!J31,0)</f>
        <v>-92</v>
      </c>
      <c r="I104" s="22">
        <f>IFERROR('cash flow data'!K31,0)</f>
        <v>-82</v>
      </c>
      <c r="J104" s="22">
        <f>IFERROR('cash flow data'!L31,0)</f>
        <v>-88</v>
      </c>
      <c r="K104" s="22">
        <f>IFERROR('cash flow data'!M31,0)</f>
        <v>-110</v>
      </c>
      <c r="L104" s="22">
        <f>IFERROR('cash flow data'!N31,0)</f>
        <v>-130</v>
      </c>
      <c r="M104" s="22"/>
    </row>
    <row r="105" spans="2:13" x14ac:dyDescent="0.3">
      <c r="B105" s="32" t="s">
        <v>109</v>
      </c>
      <c r="C105" s="22">
        <f>IFERROR('cash flow data'!E32,0)</f>
        <v>-3354</v>
      </c>
      <c r="D105" s="22">
        <f>IFERROR('cash flow data'!F32,0)</f>
        <v>-3572</v>
      </c>
      <c r="E105" s="22">
        <f>IFERROR('cash flow data'!G32,0)</f>
        <v>-3911</v>
      </c>
      <c r="F105" s="22">
        <f>IFERROR('cash flow data'!H32,0)</f>
        <v>-4554</v>
      </c>
      <c r="G105" s="22">
        <f>IFERROR('cash flow data'!I32,0)</f>
        <v>-5196</v>
      </c>
      <c r="H105" s="22">
        <f>IFERROR('cash flow data'!J32,0)</f>
        <v>-8811</v>
      </c>
      <c r="I105" s="22">
        <f>IFERROR('cash flow data'!K32,0)</f>
        <v>-7526</v>
      </c>
      <c r="J105" s="22">
        <f>IFERROR('cash flow data'!L32,0)</f>
        <v>-8474</v>
      </c>
      <c r="K105" s="22">
        <f>IFERROR('cash flow data'!M32,0)</f>
        <v>-9416</v>
      </c>
      <c r="L105" s="22">
        <f>IFERROR('cash flow data'!N32,0)</f>
        <v>-12473</v>
      </c>
      <c r="M105" s="22"/>
    </row>
    <row r="106" spans="2:13" x14ac:dyDescent="0.3">
      <c r="B106" s="32" t="s">
        <v>110</v>
      </c>
      <c r="C106" s="22">
        <f>IFERROR('cash flow data'!E33,0)</f>
        <v>0</v>
      </c>
      <c r="D106" s="22">
        <f>IFERROR('cash flow data'!F33,0)</f>
        <v>0</v>
      </c>
      <c r="E106" s="22">
        <f>IFERROR('cash flow data'!G33,0)</f>
        <v>0</v>
      </c>
      <c r="F106" s="22">
        <f>IFERROR('cash flow data'!H33,0)</f>
        <v>0</v>
      </c>
      <c r="G106" s="22">
        <f>IFERROR('cash flow data'!I33,0)</f>
        <v>-373</v>
      </c>
      <c r="H106" s="22">
        <f>IFERROR('cash flow data'!J33,0)</f>
        <v>-406</v>
      </c>
      <c r="I106" s="22">
        <f>IFERROR('cash flow data'!K33,0)</f>
        <v>-407</v>
      </c>
      <c r="J106" s="22">
        <f>IFERROR('cash flow data'!L33,0)</f>
        <v>-467</v>
      </c>
      <c r="K106" s="22">
        <f>IFERROR('cash flow data'!M33,0)</f>
        <v>-423</v>
      </c>
      <c r="L106" s="22">
        <f>IFERROR('cash flow data'!N33,0)</f>
        <v>-498</v>
      </c>
      <c r="M106" s="22"/>
    </row>
    <row r="107" spans="2:13" x14ac:dyDescent="0.3">
      <c r="B107" s="32" t="s">
        <v>111</v>
      </c>
      <c r="C107" s="22">
        <f>IFERROR('cash flow data'!E34,0)</f>
        <v>-685</v>
      </c>
      <c r="D107" s="22">
        <f>IFERROR('cash flow data'!F34,0)</f>
        <v>-728</v>
      </c>
      <c r="E107" s="22">
        <f>IFERROR('cash flow data'!G34,0)</f>
        <v>-781</v>
      </c>
      <c r="F107" s="22">
        <f>IFERROR('cash flow data'!H34,0)</f>
        <v>-928</v>
      </c>
      <c r="G107" s="22">
        <f>IFERROR('cash flow data'!I34,0)</f>
        <v>-1061</v>
      </c>
      <c r="H107" s="22">
        <f>IFERROR('cash flow data'!J34,0)</f>
        <v>0</v>
      </c>
      <c r="I107" s="22">
        <f>IFERROR('cash flow data'!K34,0)</f>
        <v>0</v>
      </c>
      <c r="J107" s="22">
        <f>IFERROR('cash flow data'!L34,0)</f>
        <v>-2</v>
      </c>
      <c r="K107" s="22">
        <f>IFERROR('cash flow data'!M34,0)</f>
        <v>0</v>
      </c>
      <c r="L107" s="22">
        <f>IFERROR('cash flow data'!N34,0)</f>
        <v>0</v>
      </c>
      <c r="M107" s="22"/>
    </row>
    <row r="108" spans="2:13" x14ac:dyDescent="0.3">
      <c r="B108" s="33" t="s">
        <v>120</v>
      </c>
      <c r="C108" s="64">
        <f>IFERROR(SUM(C101:C107),0)</f>
        <v>-3864</v>
      </c>
      <c r="D108" s="64">
        <f>IFERROR(SUM(D101:D107),0)</f>
        <v>-4214</v>
      </c>
      <c r="E108" s="64">
        <f>IFERROR(SUM(E101:E107),0)</f>
        <v>-4975</v>
      </c>
      <c r="F108" s="64">
        <f>IFERROR(SUM(F101:F107),0)</f>
        <v>-5390</v>
      </c>
      <c r="G108" s="64">
        <f>IFERROR(SUM(G101:G107),0)</f>
        <v>-6819</v>
      </c>
      <c r="H108" s="64">
        <f>IFERROR(SUM(H101:H107),0)</f>
        <v>-9309</v>
      </c>
      <c r="I108" s="64">
        <f>IFERROR(SUM(I101:I107),0)</f>
        <v>-8015</v>
      </c>
      <c r="J108" s="64">
        <f>IFERROR(SUM(J101:J107),0)</f>
        <v>-8953</v>
      </c>
      <c r="K108" s="64">
        <f>IFERROR(SUM(K101:K107),0)</f>
        <v>-10034</v>
      </c>
      <c r="L108" s="64">
        <f>IFERROR(SUM(L101:L107),0)</f>
        <v>-13101</v>
      </c>
      <c r="M108" s="22"/>
    </row>
    <row r="109" spans="2:13" x14ac:dyDescent="0.3"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spans="2:13" x14ac:dyDescent="0.3">
      <c r="B110" s="33" t="s">
        <v>56</v>
      </c>
      <c r="C110" s="64">
        <f>IFERROR(SUM(C84,C98,C108),0)</f>
        <v>-56</v>
      </c>
      <c r="D110" s="64">
        <f>IFERROR(SUM(D84,D98,D108),0)</f>
        <v>364</v>
      </c>
      <c r="E110" s="64">
        <f>IFERROR(SUM(E84,E98,E108),0)</f>
        <v>857</v>
      </c>
      <c r="F110" s="64">
        <f>IFERROR(SUM(F84,F98,F108),0)</f>
        <v>-370</v>
      </c>
      <c r="G110" s="64">
        <f>IFERROR(SUM(G84,G98,G108),0)</f>
        <v>3006</v>
      </c>
      <c r="H110" s="64">
        <f>IFERROR(SUM(H84,H98,H108),0)</f>
        <v>-1475</v>
      </c>
      <c r="I110" s="64">
        <f>IFERROR(SUM(I84,I98,I108),0)</f>
        <v>-1695</v>
      </c>
      <c r="J110" s="64">
        <f>IFERROR(SUM(J84,J98,J108),0)</f>
        <v>-1406</v>
      </c>
      <c r="K110" s="64">
        <f>IFERROR(SUM(K84,K98,K108),0)</f>
        <v>1424</v>
      </c>
      <c r="L110" s="64">
        <f>IFERROR(SUM(L84,L98,L108),0)</f>
        <v>4470</v>
      </c>
      <c r="M110" s="22"/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N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53F0-58FC-4E05-A9A3-BA2ED03A9079}">
  <dimension ref="A2:O40"/>
  <sheetViews>
    <sheetView showGridLines="0" zoomScale="95" zoomScaleNormal="95" workbookViewId="0">
      <pane ySplit="3" topLeftCell="A4" activePane="bottomLeft" state="frozen"/>
      <selection pane="bottomLeft" activeCell="S29" sqref="S29"/>
    </sheetView>
  </sheetViews>
  <sheetFormatPr defaultRowHeight="14.4" x14ac:dyDescent="0.3"/>
  <cols>
    <col min="1" max="1" width="1.88671875" style="20" customWidth="1"/>
    <col min="2" max="2" width="31.21875" customWidth="1"/>
    <col min="8" max="8" width="9.77734375" customWidth="1"/>
    <col min="9" max="9" width="9.6640625" bestFit="1" customWidth="1"/>
    <col min="13" max="13" width="18.109375" customWidth="1"/>
    <col min="14" max="14" width="10.88671875" customWidth="1"/>
    <col min="15" max="15" width="10.77734375" customWidth="1"/>
  </cols>
  <sheetData>
    <row r="2" spans="2:15" x14ac:dyDescent="0.3">
      <c r="B2" s="65" t="str">
        <f>"Ratio Analysis -"&amp; 'Data Sheet'!B1</f>
        <v>Ratio Analysis -HINDUSTAN UNILEVER LTD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2:15" x14ac:dyDescent="0.3">
      <c r="B3" s="6" t="s">
        <v>61</v>
      </c>
      <c r="C3" s="14">
        <f>'Data Sheet'!B16</f>
        <v>42460</v>
      </c>
      <c r="D3" s="14">
        <f>'Data Sheet'!C16</f>
        <v>42825</v>
      </c>
      <c r="E3" s="14">
        <f>'Data Sheet'!D16</f>
        <v>43190</v>
      </c>
      <c r="F3" s="14">
        <f>'Data Sheet'!E16</f>
        <v>43555</v>
      </c>
      <c r="G3" s="14">
        <f>'Data Sheet'!F16</f>
        <v>43921</v>
      </c>
      <c r="H3" s="14">
        <f>'Data Sheet'!G16</f>
        <v>44286</v>
      </c>
      <c r="I3" s="14">
        <f>'Data Sheet'!H16</f>
        <v>44651</v>
      </c>
      <c r="J3" s="14">
        <f>'Data Sheet'!I16</f>
        <v>45016</v>
      </c>
      <c r="K3" s="14">
        <f>'Data Sheet'!J16</f>
        <v>45382</v>
      </c>
      <c r="L3" s="14">
        <f>'Data Sheet'!K16</f>
        <v>45747</v>
      </c>
      <c r="M3" s="52" t="s">
        <v>154</v>
      </c>
      <c r="N3" s="15" t="s">
        <v>152</v>
      </c>
      <c r="O3" s="15" t="s">
        <v>153</v>
      </c>
    </row>
    <row r="5" spans="2:15" x14ac:dyDescent="0.3">
      <c r="B5" s="41" t="s">
        <v>122</v>
      </c>
      <c r="C5" s="41"/>
      <c r="D5" s="42">
        <f>IFERROR('historical '!D7,0)</f>
        <v>3.03237432424035E-2</v>
      </c>
      <c r="E5" s="42">
        <f>IFERROR('historical '!E7,0)</f>
        <v>7.1859357095470644E-2</v>
      </c>
      <c r="F5" s="42">
        <f>IFERROR('historical '!F7,0)</f>
        <v>0.1059220706147137</v>
      </c>
      <c r="G5" s="42">
        <f>IFERROR('historical '!G7,0)</f>
        <v>1.2032561689137689E-2</v>
      </c>
      <c r="H5" s="42">
        <f>IFERROR('historical '!H7,0)</f>
        <v>0.18211296282331646</v>
      </c>
      <c r="I5" s="42">
        <f>IFERROR('historical '!I7,0)</f>
        <v>0.11520796121459553</v>
      </c>
      <c r="J5" s="42">
        <f>IFERROR('historical '!J7,0)</f>
        <v>0.15509285741524614</v>
      </c>
      <c r="K5" s="42">
        <f>IFERROR('historical '!K7,0)</f>
        <v>2.1723341036645749E-2</v>
      </c>
      <c r="L5" s="42">
        <f>IFERROR('historical '!L7,0)</f>
        <v>1.9791262763344974E-2</v>
      </c>
      <c r="M5" s="41"/>
      <c r="N5" s="42">
        <f>IFERROR(AVERAGE(D5:L5),0)</f>
        <v>7.9340679766097155E-2</v>
      </c>
      <c r="O5" s="42">
        <f>IFERROR(MEDIAN(C5:L5),0)</f>
        <v>7.1859357095470644E-2</v>
      </c>
    </row>
    <row r="6" spans="2:15" x14ac:dyDescent="0.3">
      <c r="B6" t="s">
        <v>123</v>
      </c>
      <c r="D6" s="40">
        <f>IFERROR(('historical '!D18/'historical '!C18)-1,0)</f>
        <v>7.0727580372250465E-2</v>
      </c>
      <c r="E6" s="40">
        <f>IFERROR(('historical '!E18/'historical '!D18)-1,0)</f>
        <v>0.1850505689001265</v>
      </c>
      <c r="F6" s="40">
        <f>IFERROR(('historical '!F18/'historical '!E18)-1,0)</f>
        <v>0.1841578877183625</v>
      </c>
      <c r="G6" s="40">
        <f>IFERROR(('historical '!G18/'historical '!F18)-1,0)</f>
        <v>0.11047297297297298</v>
      </c>
      <c r="H6" s="40">
        <f>IFERROR(('historical '!H18/'historical '!G18)-1,0)</f>
        <v>0.1789879322583916</v>
      </c>
      <c r="I6" s="40">
        <f>IFERROR(('historical '!I18/'historical '!H18)-1,0)</f>
        <v>0.10588336487183891</v>
      </c>
      <c r="J6" s="40">
        <f>IFERROR(('historical '!J18/'historical '!I18)-1,0)</f>
        <v>0.10033444816053505</v>
      </c>
      <c r="K6" s="40">
        <f>IFERROR(('historical '!K18/'historical '!J18)-1,0)</f>
        <v>3.6191418675337594E-2</v>
      </c>
      <c r="L6" s="40">
        <f>IFERROR(('historical '!L18/'historical '!K18)-1,0)</f>
        <v>1.255201582645471E-2</v>
      </c>
      <c r="N6" s="40">
        <f>IFERROR(AVERAGE(D6:L6),0)</f>
        <v>0.10937313219514115</v>
      </c>
      <c r="O6" s="40">
        <f t="shared" ref="O6:O9" si="0">IFERROR(MEDIAN(C6:L6),0)</f>
        <v>0.10588336487183891</v>
      </c>
    </row>
    <row r="7" spans="2:15" x14ac:dyDescent="0.3">
      <c r="B7" t="s">
        <v>124</v>
      </c>
      <c r="D7" s="40">
        <f>IFERROR(('historical '!D27/'historical '!C27)-1,0)</f>
        <v>5.794223826714795E-2</v>
      </c>
      <c r="E7" s="40">
        <f>IFERROR(('historical '!E27/'historical '!D27)-1,0)</f>
        <v>0.18631632827162603</v>
      </c>
      <c r="F7" s="40">
        <f>IFERROR(('historical '!F27/'historical '!E27)-1,0)</f>
        <v>0.19114051488566086</v>
      </c>
      <c r="G7" s="40">
        <f>IFERROR(('historical '!G27/'historical '!F27)-1,0)</f>
        <v>5.5421395798116446E-2</v>
      </c>
      <c r="H7" s="40">
        <f>IFERROR(('historical '!H27/'historical '!G27)-1,0)</f>
        <v>0.19379933646035918</v>
      </c>
      <c r="I7" s="40">
        <f>IFERROR(('historical '!I27/'historical '!H27)-1,0)</f>
        <v>0.11739338763775753</v>
      </c>
      <c r="J7" s="40">
        <f>IFERROR(('historical '!J27/'historical '!I27)-1,0)</f>
        <v>0.10600343053173233</v>
      </c>
      <c r="K7" s="40">
        <f>IFERROR(('historical '!K27/'historical '!J27)-1,0)</f>
        <v>1.6516749379652529E-2</v>
      </c>
      <c r="L7" s="40">
        <f>IFERROR(('historical '!L27/'historical '!K27)-1,0)</f>
        <v>-1.2205355099550452E-3</v>
      </c>
      <c r="N7" s="40">
        <f t="shared" ref="N7:N8" si="1">IFERROR(AVERAGE(D7:L7),0)</f>
        <v>0.10259031619134421</v>
      </c>
      <c r="O7" s="40">
        <f t="shared" si="0"/>
        <v>0.10600343053173233</v>
      </c>
    </row>
    <row r="8" spans="2:15" x14ac:dyDescent="0.3">
      <c r="B8" t="s">
        <v>125</v>
      </c>
      <c r="D8" s="40">
        <f>IFERROR(('historical '!D33/'historical '!C33)-1,0)</f>
        <v>5.9754433833560716E-2</v>
      </c>
      <c r="E8" s="40">
        <f>IFERROR(('historical '!E33/'historical '!D33)-1,0)</f>
        <v>0.2548918640576725</v>
      </c>
      <c r="F8" s="40">
        <f>IFERROR(('historical '!F33/'historical '!E33)-1,0)</f>
        <v>0.17726713171932706</v>
      </c>
      <c r="G8" s="40">
        <f>IFERROR(('historical '!G33/'historical '!F33)-1,0)</f>
        <v>0.10352039037992333</v>
      </c>
      <c r="H8" s="40">
        <f>IFERROR(('historical '!H33/'historical '!G33)-1,0)</f>
        <v>0.23641819330385339</v>
      </c>
      <c r="I8" s="40">
        <f>IFERROR(('historical '!I33/'historical '!H33)-1,0)</f>
        <v>0.10780431728190054</v>
      </c>
      <c r="J8" s="40">
        <f>IFERROR(('historical '!J33/'historical '!I33)-1,0)</f>
        <v>0.11783696529459231</v>
      </c>
      <c r="K8" s="40">
        <f>IFERROR(('historical '!K33/'historical '!J33)-1,0)</f>
        <v>-2.372356884992266E-2</v>
      </c>
      <c r="L8" s="40">
        <f>IFERROR(('historical '!L33/'historical '!K33)-1,0)</f>
        <v>-1.2255678816693094E-2</v>
      </c>
      <c r="N8" s="40">
        <f t="shared" si="1"/>
        <v>0.11350156091157936</v>
      </c>
      <c r="O8" s="40">
        <f t="shared" si="0"/>
        <v>0.10780431728190054</v>
      </c>
    </row>
    <row r="9" spans="2:15" x14ac:dyDescent="0.3">
      <c r="B9" s="43" t="s">
        <v>126</v>
      </c>
      <c r="C9" s="43"/>
      <c r="D9" s="44">
        <f>IFERROR(('historical '!D41/'historical '!C41)-1,0)</f>
        <v>6.2303631659196945E-2</v>
      </c>
      <c r="E9" s="44">
        <f>IFERROR(('historical '!E41/'historical '!D41)-1,0)</f>
        <v>0.17636188224423521</v>
      </c>
      <c r="F9" s="44">
        <f>IFERROR(('historical '!F41/'historical '!E41)-1,0)</f>
        <v>9.989836928904694E-2</v>
      </c>
      <c r="G9" s="44">
        <f>IFERROR(('historical '!G41/'historical '!F41)-1,0)</f>
        <v>0.13631114358664265</v>
      </c>
      <c r="H9" s="44">
        <f>IFERROR(('historical '!H41/'historical '!G41)-1,0)</f>
        <v>0.62387640449438186</v>
      </c>
      <c r="I9" s="44">
        <f>IFERROR(('historical '!I41/'historical '!H41)-1,0)</f>
        <v>-0.16049382716049365</v>
      </c>
      <c r="J9" s="44">
        <f>IFERROR(('historical '!J41/'historical '!I41)-1,0)</f>
        <v>0.14705882352941169</v>
      </c>
      <c r="K9" s="44">
        <f>IFERROR(('historical '!K41/'historical '!J41)-1,0)</f>
        <v>7.6923076923076872E-2</v>
      </c>
      <c r="L9" s="44">
        <f>IFERROR(('historical '!L41/'historical '!K41)-1,0)</f>
        <v>0.26190476190476186</v>
      </c>
      <c r="M9" s="43"/>
      <c r="N9" s="44">
        <f>IFERROR(AVERAGE(D9:L9),0)</f>
        <v>0.15823825183002893</v>
      </c>
      <c r="O9" s="44">
        <f t="shared" si="0"/>
        <v>0.13631114358664265</v>
      </c>
    </row>
    <row r="11" spans="2:15" x14ac:dyDescent="0.3">
      <c r="B11" s="41" t="s">
        <v>127</v>
      </c>
      <c r="C11" s="42">
        <f>IFERROR('historical '!C13,0)</f>
        <v>0.43385322811160132</v>
      </c>
      <c r="D11" s="42">
        <f>IFERROR('historical '!D13,0)</f>
        <v>0.43685543694590195</v>
      </c>
      <c r="E11" s="42">
        <f>IFERROR('historical '!E13,0)</f>
        <v>0.45663243775495849</v>
      </c>
      <c r="F11" s="42">
        <f>IFERROR('historical '!F13,0)</f>
        <v>0.46372424319511574</v>
      </c>
      <c r="G11" s="42">
        <f>IFERROR('historical '!G13,0)</f>
        <v>0.48183897644722617</v>
      </c>
      <c r="H11" s="42">
        <f>IFERROR('historical '!H13,0)</f>
        <v>0.46200136089138388</v>
      </c>
      <c r="I11" s="42">
        <f>IFERROR('historical '!I13,0)</f>
        <v>0.44579186210578498</v>
      </c>
      <c r="J11" s="42">
        <f>IFERROR('historical '!J13,0)</f>
        <v>0.41596236381644108</v>
      </c>
      <c r="K11" s="42">
        <f>IFERROR('historical '!K13,0)</f>
        <v>0.45632997285769678</v>
      </c>
      <c r="L11" s="42">
        <f>IFERROR('historical '!L13,0)</f>
        <v>0.45297127738787407</v>
      </c>
      <c r="M11" s="41"/>
      <c r="N11" s="42">
        <f>IFERROR(AVERAGE(C11:L11),0)</f>
        <v>0.45059611595139842</v>
      </c>
      <c r="O11" s="42">
        <f>IFERROR(MEDIAN(C11:L11),0)</f>
        <v>0.45465062512278542</v>
      </c>
    </row>
    <row r="12" spans="2:15" x14ac:dyDescent="0.3">
      <c r="B12" t="s">
        <v>128</v>
      </c>
      <c r="C12" s="40">
        <f>IFERROR('historical '!C19,0)</f>
        <v>0.18362020754365252</v>
      </c>
      <c r="D12" s="40">
        <f>IFERROR('historical '!D19,0)</f>
        <v>0.1908208190097099</v>
      </c>
      <c r="E12" s="40">
        <f>IFERROR('historical '!E19,0)</f>
        <v>0.21097200731467156</v>
      </c>
      <c r="F12" s="40">
        <f>IFERROR('historical '!F19,0)</f>
        <v>0.2258967183922666</v>
      </c>
      <c r="G12" s="40">
        <f>IFERROR('historical '!G19,0)</f>
        <v>0.24786969308498605</v>
      </c>
      <c r="H12" s="40">
        <f>IFERROR('historical '!H19,0)</f>
        <v>0.24721442544866887</v>
      </c>
      <c r="I12" s="40">
        <f>IFERROR('historical '!I19,0)</f>
        <v>0.24514738969606834</v>
      </c>
      <c r="J12" s="40">
        <f>IFERROR('historical '!J19,0)</f>
        <v>0.23352591614394189</v>
      </c>
      <c r="K12" s="40">
        <f>IFERROR('historical '!K19,0)</f>
        <v>0.23683275171255008</v>
      </c>
      <c r="L12" s="40">
        <f>IFERROR('historical '!L19,0)</f>
        <v>0.23515153435465216</v>
      </c>
      <c r="N12" s="40">
        <f t="shared" ref="N12:N15" si="2">IFERROR(AVERAGE(C12:L12),0)</f>
        <v>0.22570514627011679</v>
      </c>
      <c r="O12" s="40">
        <f t="shared" ref="O12:O15" si="3">IFERROR(MEDIAN(C12:L12),0)</f>
        <v>0.23433872524929703</v>
      </c>
    </row>
    <row r="13" spans="2:15" x14ac:dyDescent="0.3">
      <c r="B13" t="s">
        <v>129</v>
      </c>
      <c r="C13" s="40">
        <f>IFERROR(('historical '!C18-'historical '!C24)/'historical '!C6,0)</f>
        <v>0.17265270614552911</v>
      </c>
      <c r="D13" s="40">
        <f>IFERROR(('historical '!D18-'historical '!D24)/'historical '!D6,0)</f>
        <v>0.17779386044267534</v>
      </c>
      <c r="E13" s="40">
        <f>IFERROR(('historical '!E18-'historical '!E24)/'historical '!E6,0)</f>
        <v>0.19634266422844282</v>
      </c>
      <c r="F13" s="40">
        <f>IFERROR(('historical '!F18-'historical '!F24)/'historical '!F6,0)</f>
        <v>0.21152378529636226</v>
      </c>
      <c r="G13" s="40">
        <f>IFERROR(('historical '!G18-'historical '!G24)/'historical '!G6,0)</f>
        <v>0.22268305557650253</v>
      </c>
      <c r="H13" s="40">
        <f>IFERROR(('historical '!H18-'historical '!H24)/'historical '!H6,0)</f>
        <v>0.22437696691332823</v>
      </c>
      <c r="I13" s="40">
        <f>IFERROR(('historical '!I18-'historical '!I24)/'historical '!I6,0)</f>
        <v>0.22434504061320215</v>
      </c>
      <c r="J13" s="40">
        <f>IFERROR(('historical '!J18-'historical '!J24)/'historical '!J6,0)</f>
        <v>0.21475734565863322</v>
      </c>
      <c r="K13" s="40">
        <f>IFERROR(('historical '!K18-'historical '!K24)/'historical '!K6,0)</f>
        <v>0.21718689414501746</v>
      </c>
      <c r="L13" s="40">
        <f>IFERROR(('historical '!L18-'historical '!L24)/'historical '!L6,0)</f>
        <v>0.21368482755342913</v>
      </c>
      <c r="N13" s="40">
        <f t="shared" si="2"/>
        <v>0.20753471465731224</v>
      </c>
      <c r="O13" s="40">
        <f t="shared" si="3"/>
        <v>0.21422108660603117</v>
      </c>
    </row>
    <row r="14" spans="2:15" x14ac:dyDescent="0.3">
      <c r="B14" t="s">
        <v>130</v>
      </c>
      <c r="C14" s="40">
        <f>IFERROR('historical '!C28,0)</f>
        <v>0.17212452619151183</v>
      </c>
      <c r="D14" s="40">
        <f>IFERROR('historical '!D28,0)</f>
        <v>0.17673843555877208</v>
      </c>
      <c r="E14" s="40">
        <f>IFERROR('historical '!E28,0)</f>
        <v>0.19561119707413138</v>
      </c>
      <c r="F14" s="40">
        <f>IFERROR('historical '!F28,0)</f>
        <v>0.21068430424828288</v>
      </c>
      <c r="G14" s="40">
        <f>IFERROR('historical '!G28,0)</f>
        <v>0.21971696453258929</v>
      </c>
      <c r="H14" s="40">
        <f>IFERROR('historical '!H28,0)</f>
        <v>0.22188908735221571</v>
      </c>
      <c r="I14" s="40">
        <f>IFERROR('historical '!I28,0)</f>
        <v>0.22232391412119132</v>
      </c>
      <c r="J14" s="40">
        <f>IFERROR('historical '!J28,0)</f>
        <v>0.21287553648068669</v>
      </c>
      <c r="K14" s="40">
        <f>IFERROR('historical '!K28,0)</f>
        <v>0.2117907457670932</v>
      </c>
      <c r="L14" s="40">
        <f>IFERROR('historical '!L28,0)</f>
        <v>0.20742700527558183</v>
      </c>
      <c r="N14" s="40">
        <f t="shared" si="2"/>
        <v>0.2051181716602056</v>
      </c>
      <c r="O14" s="40">
        <f t="shared" si="3"/>
        <v>0.21123752500768805</v>
      </c>
    </row>
    <row r="15" spans="2:15" x14ac:dyDescent="0.3">
      <c r="B15" s="43" t="s">
        <v>131</v>
      </c>
      <c r="C15" s="44">
        <f>IFERROR('historical '!C34,0)</f>
        <v>0.11386938420431243</v>
      </c>
      <c r="D15" s="44">
        <f>IFERROR('historical '!D34,0)</f>
        <v>0.11712200711657922</v>
      </c>
      <c r="E15" s="44">
        <f>IFERROR('historical '!E34,0)</f>
        <v>0.1371219580813054</v>
      </c>
      <c r="F15" s="44">
        <f>IFERROR('historical '!F34,0)</f>
        <v>0.14596794708725516</v>
      </c>
      <c r="G15" s="44">
        <f>IFERROR('historical '!G34,0)</f>
        <v>0.15916346178015736</v>
      </c>
      <c r="H15" s="44">
        <f>IFERROR('historical '!H34,0)</f>
        <v>0.16647529131581185</v>
      </c>
      <c r="I15" s="44">
        <f>IFERROR('historical '!I34,0)</f>
        <v>0.16537009495481067</v>
      </c>
      <c r="J15" s="44">
        <f>IFERROR('historical '!J34,0)</f>
        <v>0.16003631561571477</v>
      </c>
      <c r="K15" s="44">
        <f>IFERROR('historical '!K34,0)</f>
        <v>0.15291779759596744</v>
      </c>
      <c r="L15" s="44">
        <f>IFERROR('historical '!L34,0)</f>
        <v>0.14811235563441644</v>
      </c>
      <c r="M15" s="43"/>
      <c r="N15" s="44">
        <f t="shared" si="2"/>
        <v>0.14661566133863307</v>
      </c>
      <c r="O15" s="44">
        <f t="shared" si="3"/>
        <v>0.15051507661519192</v>
      </c>
    </row>
    <row r="17" spans="2:15" x14ac:dyDescent="0.3">
      <c r="B17" s="41" t="s">
        <v>132</v>
      </c>
      <c r="C17" s="42">
        <f>IFERROR('historical '!C16,0)</f>
        <v>0.25023302056794877</v>
      </c>
      <c r="D17" s="42">
        <f>IFERROR('historical '!D16,0)</f>
        <v>0.24603461793619202</v>
      </c>
      <c r="E17" s="42">
        <f>IFERROR('historical '!E16,0)</f>
        <v>0.24566043044028696</v>
      </c>
      <c r="F17" s="42">
        <f>IFERROR('historical '!F16,0)</f>
        <v>0.23782752480284916</v>
      </c>
      <c r="G17" s="42">
        <f>IFERROR('historical '!G16,0)</f>
        <v>0.23396928336224015</v>
      </c>
      <c r="H17" s="42">
        <f>IFERROR('historical '!H16,0)</f>
        <v>0.21478693544271499</v>
      </c>
      <c r="I17" s="42">
        <f>IFERROR('historical '!I16,0)</f>
        <v>0.20064447240971667</v>
      </c>
      <c r="J17" s="42">
        <f>IFERROR('historical '!J16,0)</f>
        <v>0.18243644767249917</v>
      </c>
      <c r="K17" s="42">
        <f>IFERROR('historical '!K16,0)</f>
        <v>0.21949722114514669</v>
      </c>
      <c r="L17" s="42">
        <f>IFERROR('historical '!L16,0)</f>
        <v>0.21781974303322191</v>
      </c>
      <c r="M17" s="41"/>
      <c r="N17" s="42">
        <f>IFERROR(AVERAGE(C17:L17),0)</f>
        <v>0.22489096968128167</v>
      </c>
      <c r="O17" s="42">
        <f>IFERROR(MEDIAN(C17:L17),0)</f>
        <v>0.22673325225369342</v>
      </c>
    </row>
    <row r="18" spans="2:15" x14ac:dyDescent="0.3">
      <c r="B18" t="s">
        <v>133</v>
      </c>
      <c r="C18" s="40">
        <f>IFERROR('historical '!C25,0)</f>
        <v>1.0967501398123409E-2</v>
      </c>
      <c r="D18" s="40">
        <f>IFERROR('historical '!D25,0)</f>
        <v>1.3026958567034558E-2</v>
      </c>
      <c r="E18" s="40">
        <f>IFERROR('historical '!E25,0)</f>
        <v>1.4629343086228723E-2</v>
      </c>
      <c r="F18" s="40">
        <f>IFERROR('historical '!F25,0)</f>
        <v>1.437293309590435E-2</v>
      </c>
      <c r="G18" s="40">
        <f>IFERROR('historical '!G25,0)</f>
        <v>2.5186637508483524E-2</v>
      </c>
      <c r="H18" s="40">
        <f>IFERROR('historical '!H25,0)</f>
        <v>2.2837458535340648E-2</v>
      </c>
      <c r="I18" s="40">
        <f>IFERROR('historical '!I25,0)</f>
        <v>2.0802349082866187E-2</v>
      </c>
      <c r="J18" s="40">
        <f>IFERROR('historical '!J25,0)</f>
        <v>1.8768570485308684E-2</v>
      </c>
      <c r="K18" s="40">
        <f>IFERROR('historical '!K25,0)</f>
        <v>1.9645857567532635E-2</v>
      </c>
      <c r="L18" s="40">
        <f>IFERROR('historical '!L25,0)</f>
        <v>2.1466706801223048E-2</v>
      </c>
      <c r="N18" s="40">
        <f t="shared" ref="N18:N19" si="4">IFERROR(AVERAGE(C18:L18),0)</f>
        <v>1.8170431612804579E-2</v>
      </c>
      <c r="O18" s="40">
        <f t="shared" ref="O18:O19" si="5">IFERROR(MEDIAN(C18:L18),0)</f>
        <v>1.9207214026420658E-2</v>
      </c>
    </row>
    <row r="19" spans="2:15" x14ac:dyDescent="0.3">
      <c r="B19" s="43" t="s">
        <v>134</v>
      </c>
      <c r="C19" s="45">
        <f>C13</f>
        <v>0.17265270614552911</v>
      </c>
      <c r="D19" s="45">
        <f t="shared" ref="D19:L19" si="6">D13</f>
        <v>0.17779386044267534</v>
      </c>
      <c r="E19" s="45">
        <f t="shared" si="6"/>
        <v>0.19634266422844282</v>
      </c>
      <c r="F19" s="45">
        <f t="shared" si="6"/>
        <v>0.21152378529636226</v>
      </c>
      <c r="G19" s="45">
        <f t="shared" si="6"/>
        <v>0.22268305557650253</v>
      </c>
      <c r="H19" s="45">
        <f t="shared" si="6"/>
        <v>0.22437696691332823</v>
      </c>
      <c r="I19" s="45">
        <f t="shared" si="6"/>
        <v>0.22434504061320215</v>
      </c>
      <c r="J19" s="45">
        <f t="shared" si="6"/>
        <v>0.21475734565863322</v>
      </c>
      <c r="K19" s="45">
        <f t="shared" si="6"/>
        <v>0.21718689414501746</v>
      </c>
      <c r="L19" s="45">
        <f t="shared" si="6"/>
        <v>0.21368482755342913</v>
      </c>
      <c r="M19" s="43"/>
      <c r="N19" s="44">
        <f t="shared" si="4"/>
        <v>0.20753471465731224</v>
      </c>
      <c r="O19" s="44">
        <f t="shared" si="5"/>
        <v>0.21422108660603117</v>
      </c>
    </row>
    <row r="20" spans="2:15" x14ac:dyDescent="0.3">
      <c r="O20" s="2"/>
    </row>
    <row r="21" spans="2:15" x14ac:dyDescent="0.3">
      <c r="B21" s="41" t="s">
        <v>135</v>
      </c>
      <c r="C21" s="42">
        <f>IFERROR(('historical '!C18-'historical '!C24)/SUM('historical '!C49:C51),0)</f>
        <v>0.82325925925925925</v>
      </c>
      <c r="D21" s="42">
        <f>IFERROR(('historical '!D18-'historical '!D24)/SUM('historical '!D49:D51),0)</f>
        <v>0.83976641504059246</v>
      </c>
      <c r="E21" s="42">
        <f>IFERROR(('historical '!E18-'historical '!E24)/SUM('historical '!E49:E51),0)</f>
        <v>0.95852218101909081</v>
      </c>
      <c r="F21" s="42">
        <f>IFERROR(('historical '!F18-'historical '!F24)/SUM('historical '!F49:F51),0)</f>
        <v>1.0438111975897564</v>
      </c>
      <c r="G21" s="42">
        <f>IFERROR(('historical '!G18-'historical '!G24)/SUM('historical '!G49:G51),0)</f>
        <v>1.0765585125774699</v>
      </c>
      <c r="H21" s="42">
        <f>IFERROR(('historical '!H18-'historical '!H24)/SUM('historical '!H49:H51),0)</f>
        <v>0.22133657758946176</v>
      </c>
      <c r="I21" s="42">
        <f>IFERROR(('historical '!I18-'historical '!I24)/SUM('historical '!I49:I51),0)</f>
        <v>0.23483155037521955</v>
      </c>
      <c r="J21" s="42">
        <f>IFERROR(('historical '!J18-'historical '!J24)/SUM('historical '!J49:J51),0)</f>
        <v>0.25250858839741475</v>
      </c>
      <c r="K21" s="42">
        <f>IFERROR(('historical '!K18-'historical '!K24)/SUM('historical '!K49:K51),0)</f>
        <v>0.25507570870175705</v>
      </c>
      <c r="L21" s="42">
        <f>IFERROR(('historical '!L18-'historical '!L24)/SUM('historical '!L49:L51),0)</f>
        <v>0.26421155729676787</v>
      </c>
      <c r="M21" s="41"/>
      <c r="N21" s="42">
        <f t="shared" ref="N21:N25" si="7">IFERROR(AVERAGE(C21:L21),0)</f>
        <v>0.59698815478467915</v>
      </c>
      <c r="O21" s="42">
        <f t="shared" ref="O21:O25" si="8">IFERROR(MEDIAN(C21:L21),0)</f>
        <v>0.54373540827801348</v>
      </c>
    </row>
    <row r="22" spans="2:15" x14ac:dyDescent="0.3">
      <c r="B22" t="s">
        <v>136</v>
      </c>
      <c r="C22" s="40">
        <f>IFERROR('historical '!C44,0)</f>
        <v>5.7025920873124192E-2</v>
      </c>
      <c r="D22" s="40">
        <f>IFERROR('historical '!D44,0)</f>
        <v>5.4582904222451045E-2</v>
      </c>
      <c r="E22" s="40">
        <f>IFERROR('historical '!E44,0)</f>
        <v>0.11366434140336479</v>
      </c>
      <c r="F22" s="40">
        <f>IFERROR('historical '!F44,0)</f>
        <v>0.17183687696061345</v>
      </c>
      <c r="G22" s="40">
        <f>IFERROR('historical '!G44,0)</f>
        <v>0.14718888186986734</v>
      </c>
      <c r="H22" s="40">
        <f>IFERROR('historical '!H44,0)</f>
        <v>0</v>
      </c>
      <c r="I22" s="40">
        <f>IFERROR('historical '!I44,0)</f>
        <v>7.8750144125446675E-2</v>
      </c>
      <c r="J22" s="40">
        <f>IFERROR('historical '!J44,0)</f>
        <v>5.4667354306343507E-2</v>
      </c>
      <c r="K22" s="40">
        <f>IFERROR('historical '!K44,0)</f>
        <v>0</v>
      </c>
      <c r="L22" s="40">
        <f>IFERROR('historical '!L44,0)</f>
        <v>0</v>
      </c>
      <c r="N22" s="40">
        <f t="shared" si="7"/>
        <v>6.77716423761211E-2</v>
      </c>
      <c r="O22" s="40">
        <f>IFERROR(MEDIAN(C22:L22),0)</f>
        <v>5.584663758973385E-2</v>
      </c>
    </row>
    <row r="23" spans="2:15" x14ac:dyDescent="0.3">
      <c r="B23" t="s">
        <v>137</v>
      </c>
      <c r="C23" s="40">
        <f>IFERROR('historical '!C33/SUM('historical '!C49:C50),0)</f>
        <v>0.55758405598661187</v>
      </c>
      <c r="D23" s="40">
        <f>IFERROR('historical '!D33/SUM('historical '!D49:D50),0)</f>
        <v>0.57591933570581255</v>
      </c>
      <c r="E23" s="40">
        <f>IFERROR('historical '!E33/SUM('historical '!E49:E50),0)</f>
        <v>0.6694135420958659</v>
      </c>
      <c r="F23" s="40">
        <f>IFERROR('historical '!F33/SUM('historical '!F49:F50),0)</f>
        <v>0.72937587390364811</v>
      </c>
      <c r="G23" s="40">
        <f>IFERROR('historical '!G33/SUM('historical '!G49:G50),0)</f>
        <v>0.76947381212784061</v>
      </c>
      <c r="H23" s="40">
        <f>IFERROR('historical '!H33/SUM('historical '!H49:H50),0)</f>
        <v>0.16421949070772329</v>
      </c>
      <c r="I23" s="40">
        <f>IFERROR('historical '!I33/SUM('historical '!I49:I50),0)</f>
        <v>0.1767799270296162</v>
      </c>
      <c r="J23" s="40">
        <f>IFERROR('historical '!J33/SUM('historical '!J49:J50),0)</f>
        <v>0.19272821246819338</v>
      </c>
      <c r="K23" s="40">
        <f>IFERROR('historical '!K33/SUM('historical '!K49:K50),0)</f>
        <v>0.18479831309305322</v>
      </c>
      <c r="L23" s="40">
        <f>IFERROR('historical '!L33/SUM('historical '!L49:L50),0)</f>
        <v>0.18924335047164081</v>
      </c>
      <c r="N23" s="40">
        <f t="shared" si="7"/>
        <v>0.42095359135900062</v>
      </c>
      <c r="O23" s="40">
        <f t="shared" si="8"/>
        <v>0.37515613422740263</v>
      </c>
    </row>
    <row r="24" spans="2:15" x14ac:dyDescent="0.3">
      <c r="B24" t="s">
        <v>138</v>
      </c>
      <c r="C24" s="40">
        <f>IFERROR(C22*C23,0)</f>
        <v>3.1796744256808181E-2</v>
      </c>
      <c r="D24" s="40">
        <f t="shared" ref="D24:L24" si="9">IFERROR(D22*D23,0)</f>
        <v>3.1435349940687994E-2</v>
      </c>
      <c r="E24" s="40">
        <f t="shared" si="9"/>
        <v>7.6088449388820215E-2</v>
      </c>
      <c r="F24" s="40">
        <f t="shared" si="9"/>
        <v>0.12533367230202108</v>
      </c>
      <c r="G24" s="40">
        <f t="shared" si="9"/>
        <v>0.11325799003524123</v>
      </c>
      <c r="H24" s="40">
        <f t="shared" si="9"/>
        <v>0</v>
      </c>
      <c r="I24" s="40">
        <f t="shared" si="9"/>
        <v>1.3921444732068222E-2</v>
      </c>
      <c r="J24" s="40">
        <f t="shared" si="9"/>
        <v>1.0535941475826979E-2</v>
      </c>
      <c r="K24" s="40">
        <f t="shared" si="9"/>
        <v>0</v>
      </c>
      <c r="L24" s="40">
        <f t="shared" si="9"/>
        <v>0</v>
      </c>
      <c r="N24" s="40">
        <f t="shared" si="7"/>
        <v>4.0236959213147391E-2</v>
      </c>
      <c r="O24" s="40">
        <f t="shared" si="8"/>
        <v>2.2678397336378109E-2</v>
      </c>
    </row>
    <row r="25" spans="2:15" x14ac:dyDescent="0.3">
      <c r="B25" s="43" t="s">
        <v>139</v>
      </c>
      <c r="C25" s="46">
        <f>IFERROR(('historical '!C18-'historical '!C24)/'historical '!C21,0)</f>
        <v>326.88235294117646</v>
      </c>
      <c r="D25" s="46">
        <f>IFERROR(('historical '!D18-'historical '!D24)/'historical '!D21,0)</f>
        <v>168.45714285714286</v>
      </c>
      <c r="E25" s="46">
        <f>IFERROR(('historical '!E18-'historical '!E24)/'historical '!E21,0)</f>
        <v>268.42307692307691</v>
      </c>
      <c r="F25" s="46">
        <f>IFERROR(('historical '!F18-'historical '!F24)/'historical '!F21,0)</f>
        <v>251.96969696969697</v>
      </c>
      <c r="G25" s="46">
        <f>IFERROR(('historical '!G18-'historical '!G24)/'historical '!G21,0)</f>
        <v>75.076271186440678</v>
      </c>
      <c r="H25" s="46">
        <f>IFERROR(('historical '!H18-'historical '!H24)/'historical '!H21,0)</f>
        <v>90.188034188034194</v>
      </c>
      <c r="I25" s="46">
        <f>IFERROR(('historical '!I18-'historical '!I24)/'historical '!I21,0)</f>
        <v>111</v>
      </c>
      <c r="J25" s="46">
        <f>IFERROR(('historical '!J18-'historical '!J24)/'historical '!J21,0)</f>
        <v>114.12280701754386</v>
      </c>
      <c r="K25" s="46">
        <f>IFERROR(('historical '!K18-'historical '!K24)/'historical '!K21,0)</f>
        <v>40.248502994011979</v>
      </c>
      <c r="L25" s="46">
        <f>IFERROR(('historical '!L18-'historical '!L24)/'historical '!L21,0)</f>
        <v>34.146835443037972</v>
      </c>
      <c r="M25" s="43"/>
      <c r="N25" s="46">
        <f t="shared" si="7"/>
        <v>148.05147205201621</v>
      </c>
      <c r="O25" s="46">
        <f t="shared" si="8"/>
        <v>112.56140350877193</v>
      </c>
    </row>
    <row r="27" spans="2:15" x14ac:dyDescent="0.3">
      <c r="B27" s="41" t="s">
        <v>140</v>
      </c>
      <c r="C27" s="47">
        <f>IFERROR('historical '!C6/'historical '!C61,0)</f>
        <v>25.463607594936708</v>
      </c>
      <c r="D27" s="47">
        <f>IFERROR('historical '!D6/'historical '!D61,0)</f>
        <v>30.56405529953917</v>
      </c>
      <c r="E27" s="47">
        <f>IFERROR('historical '!E6/'historical '!E61,0)</f>
        <v>27.133587786259543</v>
      </c>
      <c r="F27" s="47">
        <f>IFERROR('historical '!F6/'historical '!F61,0)</f>
        <v>21.646475770925111</v>
      </c>
      <c r="G27" s="47">
        <f>IFERROR('historical '!G6/'historical '!G61,0)</f>
        <v>34.624020887728463</v>
      </c>
      <c r="H27" s="47">
        <f>IFERROR('historical '!H6/'historical '!H61,0)</f>
        <v>26.750853242320819</v>
      </c>
      <c r="I27" s="47">
        <f>IFERROR('historical '!I6/'historical '!I61,0)</f>
        <v>23.455277280858677</v>
      </c>
      <c r="J27" s="47">
        <f>IFERROR('historical '!J6/'historical '!J61,0)</f>
        <v>19.67521922702176</v>
      </c>
      <c r="K27" s="47">
        <f>IFERROR('historical '!K6/'historical '!K61,0)</f>
        <v>20.652652652652652</v>
      </c>
      <c r="L27" s="47">
        <f>IFERROR('historical '!L6/'historical '!L61,0)</f>
        <v>16.52814873003404</v>
      </c>
      <c r="M27" s="41"/>
      <c r="N27" s="47">
        <f t="shared" ref="N27:N31" si="10">IFERROR(AVERAGE(C27:L27),0)</f>
        <v>24.649389847227695</v>
      </c>
      <c r="O27" s="47">
        <f>IFERROR(MEDIAN(C27:L27),0)</f>
        <v>24.459442437897692</v>
      </c>
    </row>
    <row r="28" spans="2:15" x14ac:dyDescent="0.3">
      <c r="B28" t="s">
        <v>141</v>
      </c>
      <c r="C28" s="48">
        <f>IFERROR('historical '!C6/'historical '!C52,0)</f>
        <v>4.0017406440382945</v>
      </c>
      <c r="D28" s="48">
        <f>IFERROR('historical '!D6/'historical '!D52,0)</f>
        <v>3.818307426597582</v>
      </c>
      <c r="E28" s="48">
        <f>IFERROR('historical '!E6/'historical '!E52,0)</f>
        <v>3.3593233153766184</v>
      </c>
      <c r="F28" s="48">
        <f>IFERROR('historical '!F6/'historical '!F52,0)</f>
        <v>3.6865797617931162</v>
      </c>
      <c r="G28" s="48">
        <f>IFERROR('historical '!G6/'historical '!G52,0)</f>
        <v>3.3363804092586382</v>
      </c>
      <c r="H28" s="48">
        <f>IFERROR('historical '!H6/'historical '!H52,0)</f>
        <v>2.2324124181144973</v>
      </c>
      <c r="I28" s="48">
        <f>IFERROR('historical '!I6/'historical '!I52,0)</f>
        <v>2.5706303303597688</v>
      </c>
      <c r="J28" s="48">
        <f>IFERROR('historical '!J6/'historical '!J52,0)</f>
        <v>2.8106151990349817</v>
      </c>
      <c r="K28" s="48">
        <f>IFERROR('historical '!K6/'historical '!K52,0)</f>
        <v>2.4002792104548805</v>
      </c>
      <c r="L28" s="48">
        <f>IFERROR('historical '!L6/'historical '!L52,0)</f>
        <v>2.1907125255960853</v>
      </c>
      <c r="N28" s="48">
        <f t="shared" si="10"/>
        <v>3.040698124062446</v>
      </c>
      <c r="O28" s="48">
        <f t="shared" ref="O28:O31" si="11">IFERROR(MEDIAN(C28:L28),0)</f>
        <v>3.0734978041468102</v>
      </c>
    </row>
    <row r="29" spans="2:15" x14ac:dyDescent="0.3">
      <c r="B29" t="s">
        <v>142</v>
      </c>
      <c r="C29" s="48">
        <f>IFERROR('historical '!C6/'historical '!C62,0)</f>
        <v>11.807043286867204</v>
      </c>
      <c r="D29" s="48">
        <f>IFERROR('historical '!D6/'historical '!D62,0)</f>
        <v>13.050767414403778</v>
      </c>
      <c r="E29" s="48">
        <f>IFERROR('historical '!E6/'historical '!E62,0)</f>
        <v>14.144448865897333</v>
      </c>
      <c r="F29" s="48">
        <f>IFERROR('historical '!F6/'historical '!F62,0)</f>
        <v>15.271950271950272</v>
      </c>
      <c r="G29" s="48">
        <f>IFERROR('historical '!G6/'historical '!G62,0)</f>
        <v>14.377665341525118</v>
      </c>
      <c r="H29" s="48">
        <f>IFERROR('historical '!H6/'historical '!H62,0)</f>
        <v>13.139983235540655</v>
      </c>
      <c r="I29" s="48">
        <f>IFERROR('historical '!I6/'historical '!I62,0)</f>
        <v>12.80419921875</v>
      </c>
      <c r="J29" s="48">
        <f>IFERROR('historical '!J6/'historical '!J62,0)</f>
        <v>14.250764525993883</v>
      </c>
      <c r="K29" s="48">
        <f>IFERROR('historical '!K6/'historical '!K62,0)</f>
        <v>15.389358528095475</v>
      </c>
      <c r="L29" s="48">
        <f>IFERROR('historical '!L6/'historical '!L62,0)</f>
        <v>14.296942242355605</v>
      </c>
      <c r="N29" s="48">
        <f>IFERROR(AVERAGE(C29:L29),0)</f>
        <v>13.853312293137932</v>
      </c>
      <c r="O29" s="48">
        <f t="shared" si="11"/>
        <v>14.197606695945609</v>
      </c>
    </row>
    <row r="30" spans="2:15" x14ac:dyDescent="0.3">
      <c r="B30" t="s">
        <v>143</v>
      </c>
      <c r="C30" s="48">
        <f>IFERROR('historical '!C6/'historical '!C55,0)</f>
        <v>9.8790669122160839</v>
      </c>
      <c r="D30" s="48">
        <f>IFERROR('historical '!D6/'historical '!D55,0)</f>
        <v>7.5044127630685677</v>
      </c>
      <c r="E30" s="48">
        <f>IFERROR('historical '!E6/'historical '!E55,0)</f>
        <v>7.8500441696113077</v>
      </c>
      <c r="F30" s="48">
        <f>IFERROR('historical '!F6/'historical '!F55,0)</f>
        <v>8.3372216330858961</v>
      </c>
      <c r="G30" s="48">
        <f>IFERROR('historical '!G6/'historical '!G55,0)</f>
        <v>7.2609965322139081</v>
      </c>
      <c r="H30" s="48">
        <f>IFERROR('historical '!H6/'historical '!H55,0)</f>
        <v>0.91417685593763975</v>
      </c>
      <c r="I30" s="48">
        <f>IFERROR('historical '!I6/'historical '!I55,0)</f>
        <v>1.018903114254075</v>
      </c>
      <c r="J30" s="48">
        <f>IFERROR('historical '!J6/'historical '!J55,0)</f>
        <v>1.1500056949770303</v>
      </c>
      <c r="K30" s="48">
        <f>IFERROR('historical '!K6/'historical '!K55,0)</f>
        <v>1.1516820482286394</v>
      </c>
      <c r="L30" s="48">
        <f>IFERROR('historical '!L6/'historical '!L55,0)</f>
        <v>1.1617005613324745</v>
      </c>
      <c r="N30" s="48">
        <f t="shared" si="10"/>
        <v>4.6228210284925622</v>
      </c>
      <c r="O30" s="48">
        <f t="shared" si="11"/>
        <v>4.2113485467731913</v>
      </c>
    </row>
    <row r="31" spans="2:15" x14ac:dyDescent="0.3">
      <c r="B31" s="43" t="s">
        <v>144</v>
      </c>
      <c r="C31" s="46">
        <f>IFERROR('historical '!C6/SUM('historical '!C49:C50),0)</f>
        <v>4.8966986155484555</v>
      </c>
      <c r="D31" s="46">
        <f>IFERROR('historical '!D6/SUM('historical '!D49:D50),0)</f>
        <v>4.9172597864768681</v>
      </c>
      <c r="E31" s="46">
        <f>IFERROR('historical '!E6/SUM('historical '!E49:E50),0)</f>
        <v>4.8818843565444308</v>
      </c>
      <c r="F31" s="46">
        <f>IFERROR('historical '!F6/SUM('historical '!F49:F50),0)</f>
        <v>4.9968221685521801</v>
      </c>
      <c r="G31" s="46">
        <f>IFERROR('historical '!G6/SUM('historical '!G49:G50),0)</f>
        <v>4.8344877870944218</v>
      </c>
      <c r="H31" s="46">
        <f>IFERROR('historical '!H6/SUM('historical '!H49:H50),0)</f>
        <v>0.98644963711876499</v>
      </c>
      <c r="I31" s="46">
        <f>IFERROR('historical '!I6/SUM('historical '!I49:I50),0)</f>
        <v>1.0689957399971464</v>
      </c>
      <c r="J31" s="46">
        <f>IFERROR('historical '!J6/SUM('historical '!J49:J50),0)</f>
        <v>1.2042779898218829</v>
      </c>
      <c r="K31" s="46">
        <f>IFERROR('historical '!K6/SUM('historical '!K49:K50),0)</f>
        <v>1.2084813932601819</v>
      </c>
      <c r="L31" s="46">
        <f>IFERROR('historical '!L6/SUM('historical '!L49:L50),0)</f>
        <v>1.2777013076393668</v>
      </c>
      <c r="M31" s="43"/>
      <c r="N31" s="46">
        <f t="shared" si="10"/>
        <v>3.0273058782053694</v>
      </c>
      <c r="O31" s="46">
        <f t="shared" si="11"/>
        <v>3.0560945473668943</v>
      </c>
    </row>
    <row r="32" spans="2:15" x14ac:dyDescent="0.3"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5" x14ac:dyDescent="0.3">
      <c r="B33" s="41" t="s">
        <v>145</v>
      </c>
      <c r="C33" s="49">
        <f>IFERROR(365/C27,0)</f>
        <v>14.334182563847637</v>
      </c>
      <c r="D33" s="49">
        <f t="shared" ref="D33:L33" si="12">IFERROR(365/D27,0)</f>
        <v>11.942132561365419</v>
      </c>
      <c r="E33" s="49">
        <f t="shared" si="12"/>
        <v>13.4519623013082</v>
      </c>
      <c r="F33" s="49">
        <f t="shared" si="12"/>
        <v>16.861867209361485</v>
      </c>
      <c r="G33" s="49">
        <f t="shared" si="12"/>
        <v>10.541814342809742</v>
      </c>
      <c r="H33" s="49">
        <f t="shared" si="12"/>
        <v>13.644424598111764</v>
      </c>
      <c r="I33" s="49">
        <f t="shared" si="12"/>
        <v>15.561529954619989</v>
      </c>
      <c r="J33" s="49">
        <f t="shared" si="12"/>
        <v>18.551254539451964</v>
      </c>
      <c r="K33" s="49">
        <f t="shared" si="12"/>
        <v>17.673274525009695</v>
      </c>
      <c r="L33" s="49">
        <f t="shared" si="12"/>
        <v>22.08353796676225</v>
      </c>
      <c r="M33" s="41"/>
      <c r="N33" s="49">
        <f t="shared" ref="N33:N36" si="13">IFERROR(AVERAGE(C33:L33),0)</f>
        <v>15.464598056264816</v>
      </c>
      <c r="O33" s="49">
        <f t="shared" ref="O33:O36" si="14">IFERROR(MEDIAN(C33:L33),0)</f>
        <v>14.947856259233813</v>
      </c>
    </row>
    <row r="34" spans="2:15" x14ac:dyDescent="0.3">
      <c r="B34" t="s">
        <v>146</v>
      </c>
      <c r="C34" s="50">
        <f>IFERROR(365/C28,0)</f>
        <v>91.210308829926049</v>
      </c>
      <c r="D34" s="50">
        <f t="shared" ref="D34:L34" si="15">IFERROR(365/D28,0)</f>
        <v>95.592093359869736</v>
      </c>
      <c r="E34" s="50">
        <f t="shared" si="15"/>
        <v>108.65283443522296</v>
      </c>
      <c r="F34" s="50">
        <f t="shared" si="15"/>
        <v>99.007758839989833</v>
      </c>
      <c r="G34" s="50">
        <f t="shared" si="15"/>
        <v>109.39999497272704</v>
      </c>
      <c r="H34" s="50">
        <f t="shared" si="15"/>
        <v>163.50025516713447</v>
      </c>
      <c r="I34" s="50">
        <f t="shared" si="15"/>
        <v>141.98852152690384</v>
      </c>
      <c r="J34" s="50">
        <f t="shared" si="15"/>
        <v>129.86480686695279</v>
      </c>
      <c r="K34" s="50">
        <f t="shared" si="15"/>
        <v>152.06564236784283</v>
      </c>
      <c r="L34" s="50">
        <f t="shared" si="15"/>
        <v>166.61245861123871</v>
      </c>
      <c r="N34" s="50">
        <f>IFERROR(AVERAGE(C34:L34),0)</f>
        <v>125.78946749778083</v>
      </c>
      <c r="O34" s="50">
        <f t="shared" si="14"/>
        <v>119.63240091983991</v>
      </c>
    </row>
    <row r="35" spans="2:15" x14ac:dyDescent="0.3">
      <c r="B35" t="s">
        <v>147</v>
      </c>
      <c r="C35" s="50">
        <f>IFERROR(365/C29,0)</f>
        <v>30.913751320449887</v>
      </c>
      <c r="D35" s="50">
        <f t="shared" ref="D35:L35" si="16">IFERROR(365/D29,0)</f>
        <v>27.967703998552562</v>
      </c>
      <c r="E35" s="50">
        <f t="shared" si="16"/>
        <v>25.805176536784359</v>
      </c>
      <c r="F35" s="50">
        <f t="shared" si="16"/>
        <v>23.90002543881964</v>
      </c>
      <c r="G35" s="50">
        <f t="shared" si="16"/>
        <v>25.386597290299875</v>
      </c>
      <c r="H35" s="50">
        <f t="shared" si="16"/>
        <v>27.777813217657563</v>
      </c>
      <c r="I35" s="50">
        <f t="shared" si="16"/>
        <v>28.506273119017656</v>
      </c>
      <c r="J35" s="50">
        <f t="shared" si="16"/>
        <v>25.612660944206009</v>
      </c>
      <c r="K35" s="50">
        <f t="shared" si="16"/>
        <v>23.717687734263926</v>
      </c>
      <c r="L35" s="50">
        <f t="shared" si="16"/>
        <v>25.529934570111376</v>
      </c>
      <c r="N35" s="50">
        <f t="shared" si="13"/>
        <v>26.511762417016286</v>
      </c>
      <c r="O35" s="50">
        <f t="shared" si="14"/>
        <v>25.708918740495186</v>
      </c>
    </row>
    <row r="36" spans="2:15" x14ac:dyDescent="0.3">
      <c r="B36" s="43" t="s">
        <v>148</v>
      </c>
      <c r="C36" s="51">
        <f>IFERROR(SUM(C33,C35)-C34,0)</f>
        <v>-45.962374945628525</v>
      </c>
      <c r="D36" s="51">
        <f t="shared" ref="D36:L36" si="17">IFERROR(SUM(D33,D35)-D34,0)</f>
        <v>-55.682256799951759</v>
      </c>
      <c r="E36" s="51">
        <f t="shared" si="17"/>
        <v>-69.395695597130398</v>
      </c>
      <c r="F36" s="51">
        <f t="shared" si="17"/>
        <v>-58.245866191808709</v>
      </c>
      <c r="G36" s="51">
        <f t="shared" si="17"/>
        <v>-73.471583339617425</v>
      </c>
      <c r="H36" s="51">
        <f t="shared" si="17"/>
        <v>-122.07801735136513</v>
      </c>
      <c r="I36" s="51">
        <f t="shared" si="17"/>
        <v>-97.92071845326619</v>
      </c>
      <c r="J36" s="51">
        <f t="shared" si="17"/>
        <v>-85.700891383294817</v>
      </c>
      <c r="K36" s="51">
        <f t="shared" si="17"/>
        <v>-110.67468010856921</v>
      </c>
      <c r="L36" s="51">
        <f t="shared" si="17"/>
        <v>-118.99898607436508</v>
      </c>
      <c r="M36" s="43"/>
      <c r="N36" s="51">
        <f t="shared" si="13"/>
        <v>-83.813107024499715</v>
      </c>
      <c r="O36" s="51">
        <f t="shared" si="14"/>
        <v>-79.586237361456114</v>
      </c>
    </row>
    <row r="38" spans="2:15" x14ac:dyDescent="0.3">
      <c r="B38" s="41" t="s">
        <v>149</v>
      </c>
      <c r="C38" s="42">
        <f>IFERROR('historical '!C84/'historical '!C6,0)</f>
        <v>0.12707388305474429</v>
      </c>
      <c r="D38" s="42">
        <f>IFERROR('historical '!D84/'historical '!D6,0)</f>
        <v>0.17342138592364756</v>
      </c>
      <c r="E38" s="42">
        <f>IFERROR('historical '!E84/'historical '!E6,0)</f>
        <v>0.19397946265297511</v>
      </c>
      <c r="F38" s="42">
        <f>IFERROR('historical '!F84/'historical '!F6,0)</f>
        <v>0.1388450775883999</v>
      </c>
      <c r="G38" s="42">
        <f>IFERROR('historical '!G84/'historical '!G6,0)</f>
        <v>0.20194555463388886</v>
      </c>
      <c r="H38" s="42">
        <f>IFERROR('historical '!H84/'historical '!H6,0)</f>
        <v>0.19269371438292082</v>
      </c>
      <c r="I38" s="42">
        <f>IFERROR('historical '!I84/'historical '!I6,0)</f>
        <v>0.15345307554436946</v>
      </c>
      <c r="J38" s="42">
        <f>IFERROR('historical '!J84/'historical '!J6,0)</f>
        <v>0.14907560250907889</v>
      </c>
      <c r="K38" s="42">
        <f>IFERROR('historical '!K84/'historical '!K6,0)</f>
        <v>0.27113222179139201</v>
      </c>
      <c r="L38" s="42">
        <f>IFERROR('historical '!L84/'historical '!L6,0)</f>
        <v>0.17582104212544161</v>
      </c>
      <c r="M38" s="41"/>
      <c r="N38" s="42">
        <f t="shared" ref="N38:N40" si="18">IFERROR(AVERAGE(C38:L38),0)</f>
        <v>0.17774410202068586</v>
      </c>
      <c r="O38" s="42">
        <f>IFERROR(MEDIAN(C38:L38),0)</f>
        <v>0.17462121402454459</v>
      </c>
    </row>
    <row r="39" spans="2:15" x14ac:dyDescent="0.3">
      <c r="B39" t="s">
        <v>150</v>
      </c>
      <c r="C39" s="40">
        <f>IFERROR('historical '!C84/'historical '!C66,0)</f>
        <v>0.27648211992158456</v>
      </c>
      <c r="D39" s="40">
        <f>IFERROR('historical '!D84/'historical '!D66,0)</f>
        <v>0.36616579651088754</v>
      </c>
      <c r="E39" s="40">
        <f>IFERROR('historical '!E84/'historical '!E66,0)</f>
        <v>0.38601500391893406</v>
      </c>
      <c r="F39" s="40">
        <f>IFERROR('historical '!F84/'historical '!F66,0)</f>
        <v>0.29298405711525044</v>
      </c>
      <c r="G39" s="40">
        <f>IFERROR('historical '!G84/'historical '!G66,0)</f>
        <v>0.39865032501364561</v>
      </c>
      <c r="H39" s="40">
        <f>IFERROR('historical '!H84/'historical '!H66,0)</f>
        <v>0.13183008437590923</v>
      </c>
      <c r="I39" s="40">
        <f>IFERROR('historical '!I84/'historical '!I66,0)</f>
        <v>0.1141463137888974</v>
      </c>
      <c r="J39" s="40">
        <f>IFERROR('historical '!J84/'historical '!J66,0)</f>
        <v>0.12358197517686824</v>
      </c>
      <c r="K39" s="40">
        <f>IFERROR('historical '!K84/'historical '!K66,0)</f>
        <v>0.21381340060390627</v>
      </c>
      <c r="L39" s="40">
        <f>IFERROR('historical '!L84/'historical '!L66,0)</f>
        <v>0.13896297409313449</v>
      </c>
      <c r="N39" s="40">
        <f t="shared" si="18"/>
        <v>0.24426320505190174</v>
      </c>
      <c r="O39" s="40">
        <f t="shared" ref="O39:O40" si="19">IFERROR(MEDIAN(C39:L39),0)</f>
        <v>0.24514776026274543</v>
      </c>
    </row>
    <row r="40" spans="2:15" x14ac:dyDescent="0.3">
      <c r="B40" s="43" t="s">
        <v>151</v>
      </c>
      <c r="C40" s="44">
        <f>IFERROR('historical '!C84/'historical '!C51,0)</f>
        <v>23.10734463276836</v>
      </c>
      <c r="D40" s="44">
        <f>IFERROR('historical '!D84/'historical '!D51,0)</f>
        <v>20.76173285198556</v>
      </c>
      <c r="E40" s="44">
        <f>IFERROR('historical '!E84/'historical '!E51,0)</f>
        <v>0</v>
      </c>
      <c r="F40" s="44">
        <f>IFERROR('historical '!F84/'historical '!F51,0)</f>
        <v>55.131313131313128</v>
      </c>
      <c r="G40" s="44">
        <f>IFERROR('historical '!G84/'historical '!G51,0)</f>
        <v>0</v>
      </c>
      <c r="H40" s="44">
        <f>IFERROR('historical '!H84/'historical '!H51,0)</f>
        <v>0</v>
      </c>
      <c r="I40" s="44">
        <f>IFERROR('historical '!I84/'historical '!I51,0)</f>
        <v>7.7162032598274211</v>
      </c>
      <c r="J40" s="44">
        <f>IFERROR('historical '!J84/'historical '!J51,0)</f>
        <v>7.4085315832649714</v>
      </c>
      <c r="K40" s="44">
        <f>IFERROR('historical '!K84/'historical '!K51,0)</f>
        <v>11.308625336927223</v>
      </c>
      <c r="L40" s="44">
        <f>IFERROR('historical '!L84/'historical '!L51,0)</f>
        <v>6.7342233009708741</v>
      </c>
      <c r="M40" s="43"/>
      <c r="N40" s="44">
        <f t="shared" si="18"/>
        <v>13.216797409705753</v>
      </c>
      <c r="O40" s="44">
        <f t="shared" si="19"/>
        <v>7.5623674215461962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B5A29506-E990-43E2-A930-3EDB47D09C7D}">
          <x14:colorSeries theme="4" tint="0.79998168889431442"/>
          <x14:colorNegative rgb="FFD00000"/>
          <x14:colorAxis rgb="FF000000"/>
          <x14:colorMarkers theme="3" tint="-0.249977111117893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8E877A52-09BA-4935-819E-66DDAC020A4B}">
          <x14:colorSeries theme="4" tint="0.79998168889431442"/>
          <x14:colorNegative rgb="FFD00000"/>
          <x14:colorAxis rgb="FF000000"/>
          <x14:colorMarkers theme="3" tint="-0.249977111117893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B2AD-DB47-49DD-BD01-0C5446D3132F}">
  <dimension ref="A2:R20"/>
  <sheetViews>
    <sheetView showGridLines="0" workbookViewId="0">
      <selection activeCell="F21" sqref="F21"/>
    </sheetView>
  </sheetViews>
  <sheetFormatPr defaultRowHeight="14.4" x14ac:dyDescent="0.3"/>
  <cols>
    <col min="1" max="1" width="1.88671875" style="20" customWidth="1"/>
    <col min="2" max="2" width="10.6640625" customWidth="1"/>
    <col min="3" max="3" width="9.6640625" bestFit="1" customWidth="1"/>
    <col min="4" max="4" width="12.33203125" customWidth="1"/>
    <col min="5" max="5" width="13.6640625" customWidth="1"/>
    <col min="6" max="6" width="2.77734375" customWidth="1"/>
    <col min="7" max="7" width="10.88671875" customWidth="1"/>
    <col min="8" max="8" width="9.77734375" customWidth="1"/>
    <col min="9" max="9" width="11.77734375" customWidth="1"/>
    <col min="10" max="10" width="15.33203125" customWidth="1"/>
    <col min="11" max="11" width="2.77734375" customWidth="1"/>
    <col min="12" max="12" width="10.6640625" customWidth="1"/>
    <col min="15" max="15" width="13.21875" customWidth="1"/>
  </cols>
  <sheetData>
    <row r="2" spans="2:18" x14ac:dyDescent="0.3">
      <c r="B2" s="66" t="str">
        <f>'Data Sheet'!B1&amp; "-" &amp; 'Data Sheet'!A17 &amp; " " &amp;"Forcasting"</f>
        <v>HINDUSTAN UNILEVER LTD-Sales Forcasting</v>
      </c>
      <c r="C2" s="66"/>
      <c r="D2" s="66"/>
      <c r="E2" s="66"/>
      <c r="G2" s="66" t="str">
        <f>'Data Sheet'!B1&amp; "-" &amp; 'historical '!B18 &amp; " " &amp;"Forcasting"</f>
        <v>HINDUSTAN UNILEVER LTD-EBITDA Forcasting</v>
      </c>
      <c r="H2" s="66"/>
      <c r="I2" s="66"/>
      <c r="J2" s="66"/>
      <c r="L2" s="66" t="str">
        <f>'Data Sheet'!B1&amp; "-" &amp; 'historical '!B38 &amp; " " &amp;"Forcasting"</f>
        <v>HINDUSTAN UNILEVER LTD-Earnings Per Share  Forcasting</v>
      </c>
      <c r="M2" s="66"/>
      <c r="N2" s="66"/>
      <c r="O2" s="66"/>
    </row>
    <row r="3" spans="2:18" x14ac:dyDescent="0.3">
      <c r="B3" s="54" t="s">
        <v>155</v>
      </c>
      <c r="C3" s="55" t="s">
        <v>156</v>
      </c>
      <c r="D3" s="55" t="s">
        <v>20</v>
      </c>
      <c r="E3" s="55" t="s">
        <v>157</v>
      </c>
      <c r="G3" s="54" t="s">
        <v>155</v>
      </c>
      <c r="H3" s="55" t="s">
        <v>156</v>
      </c>
      <c r="I3" s="55" t="s">
        <v>20</v>
      </c>
      <c r="J3" s="55" t="s">
        <v>157</v>
      </c>
      <c r="L3" s="54" t="s">
        <v>155</v>
      </c>
      <c r="M3" s="55" t="s">
        <v>156</v>
      </c>
      <c r="N3" s="55" t="s">
        <v>20</v>
      </c>
      <c r="O3" s="55" t="s">
        <v>157</v>
      </c>
    </row>
    <row r="4" spans="2:18" x14ac:dyDescent="0.3">
      <c r="B4" s="53">
        <v>1</v>
      </c>
      <c r="C4" s="57">
        <f>'Data Sheet'!$B$16</f>
        <v>42460</v>
      </c>
      <c r="D4" s="58">
        <f t="array" ref="D4:D13">TRANSPOSE('Data Sheet'!B17:K17)</f>
        <v>32186</v>
      </c>
      <c r="G4" s="53">
        <v>1</v>
      </c>
      <c r="H4" s="57">
        <f>'Data Sheet'!$B$16</f>
        <v>42460</v>
      </c>
      <c r="I4" s="58">
        <f t="array" ref="I4:I13">TRANSPOSE('historical '!C18:M18)</f>
        <v>5910</v>
      </c>
      <c r="L4" s="53">
        <v>1</v>
      </c>
      <c r="M4" s="57">
        <f>'Data Sheet'!$B$16</f>
        <v>42460</v>
      </c>
      <c r="N4" s="58">
        <f t="array" ref="N4:N13">TRANSPOSE('historical '!C38:L38)</f>
        <v>16.937011876704101</v>
      </c>
    </row>
    <row r="5" spans="2:18" x14ac:dyDescent="0.3">
      <c r="B5" s="53">
        <f>B4+1</f>
        <v>2</v>
      </c>
      <c r="C5" s="57">
        <f>C4+365</f>
        <v>42825</v>
      </c>
      <c r="D5" s="58">
        <v>269692.51</v>
      </c>
      <c r="E5" s="2">
        <f>D5/D4-1</f>
        <v>7.3791869135649044</v>
      </c>
      <c r="G5" s="53">
        <f>G4+1</f>
        <v>2</v>
      </c>
      <c r="H5" s="57">
        <f>H4+365</f>
        <v>42825</v>
      </c>
      <c r="I5" s="58">
        <v>6328</v>
      </c>
      <c r="J5" s="2">
        <f>I5/I4-1</f>
        <v>7.0727580372250465E-2</v>
      </c>
      <c r="L5" s="53">
        <f>L4+1</f>
        <v>2</v>
      </c>
      <c r="M5" s="57">
        <f>M4+365</f>
        <v>42825</v>
      </c>
      <c r="N5" s="58">
        <v>17.945756133622879</v>
      </c>
      <c r="O5" s="2">
        <f>N5/N4-1</f>
        <v>5.9558572920778818E-2</v>
      </c>
      <c r="R5" t="s">
        <v>158</v>
      </c>
    </row>
    <row r="6" spans="2:18" x14ac:dyDescent="0.3">
      <c r="B6" s="53">
        <f t="shared" ref="B6:B18" si="0">B5+1</f>
        <v>3</v>
      </c>
      <c r="C6" s="57">
        <f t="shared" ref="C6:C18" si="1">C5+365</f>
        <v>43190</v>
      </c>
      <c r="D6" s="58">
        <v>291550.48</v>
      </c>
      <c r="E6" s="2">
        <f t="shared" ref="E6:E18" si="2">D6/D5-1</f>
        <v>8.104774581985974E-2</v>
      </c>
      <c r="G6" s="53">
        <f t="shared" ref="G6:G18" si="3">G5+1</f>
        <v>3</v>
      </c>
      <c r="H6" s="57">
        <f t="shared" ref="H6:H18" si="4">H5+365</f>
        <v>43190</v>
      </c>
      <c r="I6" s="58">
        <v>7499</v>
      </c>
      <c r="J6" s="2">
        <f t="shared" ref="J6:J18" si="5">I6/I5-1</f>
        <v>0.1850505689001265</v>
      </c>
      <c r="L6" s="53">
        <f t="shared" ref="L6:L18" si="6">L5+1</f>
        <v>3</v>
      </c>
      <c r="M6" s="57">
        <f t="shared" ref="M6:M18" si="7">M5+365</f>
        <v>43190</v>
      </c>
      <c r="N6" s="58">
        <v>22.51790251790252</v>
      </c>
      <c r="O6" s="2">
        <f t="shared" ref="O6:O18" si="8">N6/N5-1</f>
        <v>0.25477591193348159</v>
      </c>
    </row>
    <row r="7" spans="2:18" x14ac:dyDescent="0.3">
      <c r="B7" s="53">
        <f t="shared" si="0"/>
        <v>4</v>
      </c>
      <c r="C7" s="57">
        <f t="shared" si="1"/>
        <v>43555</v>
      </c>
      <c r="D7" s="58">
        <v>301938.40000000002</v>
      </c>
      <c r="E7" s="2">
        <f t="shared" si="2"/>
        <v>3.5629919045237157E-2</v>
      </c>
      <c r="G7" s="53">
        <f t="shared" si="3"/>
        <v>4</v>
      </c>
      <c r="H7" s="57">
        <f t="shared" si="4"/>
        <v>43555</v>
      </c>
      <c r="I7" s="58">
        <v>8880</v>
      </c>
      <c r="J7" s="2">
        <f t="shared" si="5"/>
        <v>0.1841578877183625</v>
      </c>
      <c r="L7" s="53">
        <f t="shared" si="6"/>
        <v>4</v>
      </c>
      <c r="M7" s="57">
        <f t="shared" si="7"/>
        <v>43555</v>
      </c>
      <c r="N7" s="58">
        <v>26.507137247655564</v>
      </c>
      <c r="O7" s="2">
        <f t="shared" si="8"/>
        <v>0.17715836217789205</v>
      </c>
    </row>
    <row r="8" spans="2:18" x14ac:dyDescent="0.3">
      <c r="B8" s="53">
        <f t="shared" si="0"/>
        <v>5</v>
      </c>
      <c r="C8" s="57">
        <f t="shared" si="1"/>
        <v>43920</v>
      </c>
      <c r="D8" s="58">
        <v>261067.97</v>
      </c>
      <c r="E8" s="2">
        <f t="shared" si="2"/>
        <v>-0.135360159555724</v>
      </c>
      <c r="G8" s="53">
        <f t="shared" si="3"/>
        <v>5</v>
      </c>
      <c r="H8" s="57">
        <f t="shared" si="4"/>
        <v>43920</v>
      </c>
      <c r="I8" s="58">
        <v>9861</v>
      </c>
      <c r="J8" s="2">
        <f t="shared" si="5"/>
        <v>0.11047297297297298</v>
      </c>
      <c r="L8" s="53">
        <f t="shared" si="6"/>
        <v>5</v>
      </c>
      <c r="M8" s="57">
        <f t="shared" si="7"/>
        <v>43920</v>
      </c>
      <c r="N8" s="58">
        <v>29.249815225424982</v>
      </c>
      <c r="O8" s="2">
        <f t="shared" si="8"/>
        <v>0.10346941475213423</v>
      </c>
    </row>
    <row r="9" spans="2:18" x14ac:dyDescent="0.3">
      <c r="B9" s="53">
        <f t="shared" si="0"/>
        <v>6</v>
      </c>
      <c r="C9" s="57">
        <f t="shared" si="1"/>
        <v>44285</v>
      </c>
      <c r="D9" s="58">
        <v>249794.75</v>
      </c>
      <c r="E9" s="2">
        <f>D9/D8-1</f>
        <v>-4.3181168490336042E-2</v>
      </c>
      <c r="G9" s="53">
        <f t="shared" si="3"/>
        <v>6</v>
      </c>
      <c r="H9" s="57">
        <f t="shared" si="4"/>
        <v>44285</v>
      </c>
      <c r="I9" s="58">
        <v>11626</v>
      </c>
      <c r="J9" s="2">
        <f t="shared" si="5"/>
        <v>0.1789879322583916</v>
      </c>
      <c r="L9" s="53">
        <f t="shared" si="6"/>
        <v>6</v>
      </c>
      <c r="M9" s="57">
        <f t="shared" si="7"/>
        <v>44285</v>
      </c>
      <c r="N9" s="58">
        <v>33.320565202587673</v>
      </c>
      <c r="O9" s="2">
        <f t="shared" si="8"/>
        <v>0.1391718185496178</v>
      </c>
    </row>
    <row r="10" spans="2:18" x14ac:dyDescent="0.3">
      <c r="B10" s="53">
        <f t="shared" si="0"/>
        <v>7</v>
      </c>
      <c r="C10" s="57">
        <f t="shared" si="1"/>
        <v>44650</v>
      </c>
      <c r="D10" s="58">
        <v>278453.62</v>
      </c>
      <c r="E10" s="2">
        <f t="shared" si="2"/>
        <v>0.11472967306158344</v>
      </c>
      <c r="G10" s="53">
        <f t="shared" si="3"/>
        <v>7</v>
      </c>
      <c r="H10" s="57">
        <f t="shared" si="4"/>
        <v>44650</v>
      </c>
      <c r="I10" s="58">
        <v>12857</v>
      </c>
      <c r="J10" s="2">
        <f t="shared" si="5"/>
        <v>0.10588336487183891</v>
      </c>
      <c r="L10" s="53">
        <f t="shared" si="6"/>
        <v>7</v>
      </c>
      <c r="M10" s="57">
        <f t="shared" si="7"/>
        <v>44650</v>
      </c>
      <c r="N10" s="58">
        <v>36.912665985699689</v>
      </c>
      <c r="O10" s="2">
        <f t="shared" si="8"/>
        <v>0.10780431728190054</v>
      </c>
    </row>
    <row r="11" spans="2:18" x14ac:dyDescent="0.3">
      <c r="B11" s="53">
        <f t="shared" si="0"/>
        <v>8</v>
      </c>
      <c r="C11" s="57">
        <f t="shared" si="1"/>
        <v>45015</v>
      </c>
      <c r="D11" s="58">
        <v>345966.97</v>
      </c>
      <c r="E11" s="2">
        <f t="shared" si="2"/>
        <v>0.24245815155859707</v>
      </c>
      <c r="G11" s="53">
        <f t="shared" si="3"/>
        <v>8</v>
      </c>
      <c r="H11" s="57">
        <f t="shared" si="4"/>
        <v>45015</v>
      </c>
      <c r="I11" s="58">
        <v>14147</v>
      </c>
      <c r="J11" s="2">
        <f t="shared" si="5"/>
        <v>0.10033444816053505</v>
      </c>
      <c r="L11" s="53">
        <f t="shared" si="6"/>
        <v>8</v>
      </c>
      <c r="M11" s="57">
        <f t="shared" si="7"/>
        <v>45015</v>
      </c>
      <c r="N11" s="58">
        <v>41.262342526387471</v>
      </c>
      <c r="O11" s="2">
        <f t="shared" si="8"/>
        <v>0.11783696529459253</v>
      </c>
    </row>
    <row r="12" spans="2:18" x14ac:dyDescent="0.3">
      <c r="B12" s="53">
        <f t="shared" si="0"/>
        <v>9</v>
      </c>
      <c r="C12" s="57">
        <f t="shared" si="1"/>
        <v>45380</v>
      </c>
      <c r="D12" s="58">
        <v>434016</v>
      </c>
      <c r="E12" s="2">
        <f t="shared" si="2"/>
        <v>0.25450126062612277</v>
      </c>
      <c r="G12" s="53">
        <f t="shared" si="3"/>
        <v>9</v>
      </c>
      <c r="H12" s="57">
        <f t="shared" si="4"/>
        <v>45380</v>
      </c>
      <c r="I12" s="58">
        <v>14659</v>
      </c>
      <c r="J12" s="2">
        <f t="shared" si="5"/>
        <v>3.6191418675337594E-2</v>
      </c>
      <c r="L12" s="53">
        <f t="shared" si="6"/>
        <v>9</v>
      </c>
      <c r="M12" s="57">
        <f t="shared" si="7"/>
        <v>45380</v>
      </c>
      <c r="N12" s="58">
        <v>40.283452502553622</v>
      </c>
      <c r="O12" s="2">
        <f t="shared" si="8"/>
        <v>-2.3723568849922771E-2</v>
      </c>
    </row>
    <row r="13" spans="2:18" x14ac:dyDescent="0.3">
      <c r="B13" s="53">
        <f t="shared" si="0"/>
        <v>10</v>
      </c>
      <c r="C13" s="57">
        <f t="shared" si="1"/>
        <v>45745</v>
      </c>
      <c r="D13" s="58">
        <v>439695</v>
      </c>
      <c r="E13" s="2">
        <f t="shared" si="2"/>
        <v>1.3084771068347711E-2</v>
      </c>
      <c r="G13" s="53">
        <f t="shared" si="3"/>
        <v>10</v>
      </c>
      <c r="H13" s="57">
        <f t="shared" si="4"/>
        <v>45745</v>
      </c>
      <c r="I13" s="58">
        <v>14843</v>
      </c>
      <c r="J13" s="2">
        <f t="shared" si="5"/>
        <v>1.255201582645471E-2</v>
      </c>
      <c r="L13" s="53">
        <f t="shared" si="6"/>
        <v>10</v>
      </c>
      <c r="M13" s="57">
        <f t="shared" si="7"/>
        <v>45745</v>
      </c>
      <c r="N13" s="58">
        <v>39.789751447054819</v>
      </c>
      <c r="O13" s="2">
        <f t="shared" si="8"/>
        <v>-1.2255678816692983E-2</v>
      </c>
    </row>
    <row r="14" spans="2:18" x14ac:dyDescent="0.3">
      <c r="B14" s="59">
        <f t="shared" si="0"/>
        <v>11</v>
      </c>
      <c r="C14" s="60">
        <f t="shared" si="1"/>
        <v>46110</v>
      </c>
      <c r="D14" s="61">
        <f>FORECAST(B14,$D$4:$D$13,$B$4:$B$13)</f>
        <v>457376.18066666671</v>
      </c>
      <c r="E14" s="62">
        <f t="shared" si="2"/>
        <v>4.0212376003062822E-2</v>
      </c>
      <c r="G14" s="59">
        <f t="shared" si="3"/>
        <v>11</v>
      </c>
      <c r="H14" s="60">
        <f t="shared" si="4"/>
        <v>46110</v>
      </c>
      <c r="I14" s="61">
        <f>FORECAST(G14,$I$4:$I$13,$G$4:$G$13)</f>
        <v>16849.333333333336</v>
      </c>
      <c r="J14" s="62">
        <f t="shared" si="5"/>
        <v>0.13517033843113491</v>
      </c>
      <c r="L14" s="59">
        <f t="shared" si="6"/>
        <v>11</v>
      </c>
      <c r="M14" s="60">
        <f t="shared" si="7"/>
        <v>46110</v>
      </c>
      <c r="N14" s="61">
        <f>FORECAST(L14,$N$4:$N$13,$L$4:$L$13)</f>
        <v>46.840908964872376</v>
      </c>
      <c r="O14" s="62">
        <f t="shared" si="8"/>
        <v>0.17721039366631874</v>
      </c>
    </row>
    <row r="15" spans="2:18" x14ac:dyDescent="0.3">
      <c r="B15" s="59">
        <f t="shared" si="0"/>
        <v>12</v>
      </c>
      <c r="C15" s="60">
        <f t="shared" si="1"/>
        <v>46475</v>
      </c>
      <c r="D15" s="61">
        <f t="shared" ref="D15:D17" si="9">FORECAST(B15,$D$4:$D$13,$B$4:$B$13)</f>
        <v>487728.90987878793</v>
      </c>
      <c r="E15" s="62">
        <f t="shared" si="2"/>
        <v>6.6362723935206702E-2</v>
      </c>
      <c r="G15" s="59">
        <f t="shared" si="3"/>
        <v>12</v>
      </c>
      <c r="H15" s="60">
        <f t="shared" si="4"/>
        <v>46475</v>
      </c>
      <c r="I15" s="61">
        <f>FORECAST(G15,$I$4:$I$13,$G$4:$G$13)</f>
        <v>17974.484848484848</v>
      </c>
      <c r="J15" s="62">
        <f t="shared" si="5"/>
        <v>6.6777212658355234E-2</v>
      </c>
      <c r="L15" s="59">
        <f t="shared" si="6"/>
        <v>12</v>
      </c>
      <c r="M15" s="60">
        <f t="shared" si="7"/>
        <v>46475</v>
      </c>
      <c r="N15" s="61">
        <f t="shared" ref="N15:N18" si="10">FORECAST(L15,$N$4:$N$13,$L$4:$L$13)</f>
        <v>49.816957855474747</v>
      </c>
      <c r="O15" s="62">
        <f t="shared" si="8"/>
        <v>6.3535250625349926E-2</v>
      </c>
    </row>
    <row r="16" spans="2:18" x14ac:dyDescent="0.3">
      <c r="B16" s="59">
        <f t="shared" si="0"/>
        <v>13</v>
      </c>
      <c r="C16" s="60">
        <f t="shared" si="1"/>
        <v>46840</v>
      </c>
      <c r="D16" s="61">
        <f t="shared" si="9"/>
        <v>518081.63909090916</v>
      </c>
      <c r="E16" s="62">
        <f t="shared" si="2"/>
        <v>6.2232786692231423E-2</v>
      </c>
      <c r="G16" s="59">
        <f t="shared" si="3"/>
        <v>13</v>
      </c>
      <c r="H16" s="60">
        <f t="shared" si="4"/>
        <v>46840</v>
      </c>
      <c r="I16" s="61">
        <f>FORECAST(G16,$I$4:$I$13,$G$4:$G$13)</f>
        <v>19099.636363636364</v>
      </c>
      <c r="J16" s="62">
        <f t="shared" si="5"/>
        <v>6.259714949473838E-2</v>
      </c>
      <c r="L16" s="59">
        <f t="shared" si="6"/>
        <v>13</v>
      </c>
      <c r="M16" s="60">
        <f t="shared" si="7"/>
        <v>46840</v>
      </c>
      <c r="N16" s="61">
        <f t="shared" si="10"/>
        <v>52.793006746077118</v>
      </c>
      <c r="O16" s="62">
        <f t="shared" si="8"/>
        <v>5.9739675377935786E-2</v>
      </c>
    </row>
    <row r="17" spans="2:15" x14ac:dyDescent="0.3">
      <c r="B17" s="59">
        <f t="shared" si="0"/>
        <v>14</v>
      </c>
      <c r="C17" s="60">
        <f t="shared" si="1"/>
        <v>47205</v>
      </c>
      <c r="D17" s="61">
        <f t="shared" si="9"/>
        <v>548434.36830303026</v>
      </c>
      <c r="E17" s="62">
        <f t="shared" si="2"/>
        <v>5.8586768806132117E-2</v>
      </c>
      <c r="G17" s="59">
        <f t="shared" si="3"/>
        <v>14</v>
      </c>
      <c r="H17" s="60">
        <f t="shared" si="4"/>
        <v>47205</v>
      </c>
      <c r="I17" s="61">
        <f>FORECAST(G17,$I$4:$I$13,$G$4:$G$13)</f>
        <v>20224.78787878788</v>
      </c>
      <c r="J17" s="62">
        <f t="shared" si="5"/>
        <v>5.890957784377937E-2</v>
      </c>
      <c r="L17" s="59">
        <f t="shared" si="6"/>
        <v>14</v>
      </c>
      <c r="M17" s="60">
        <f t="shared" si="7"/>
        <v>47205</v>
      </c>
      <c r="N17" s="61">
        <f t="shared" si="10"/>
        <v>55.769055636679497</v>
      </c>
      <c r="O17" s="62">
        <f t="shared" si="8"/>
        <v>5.6372028683960407E-2</v>
      </c>
    </row>
    <row r="18" spans="2:15" x14ac:dyDescent="0.3">
      <c r="B18" s="59">
        <f t="shared" si="0"/>
        <v>15</v>
      </c>
      <c r="C18" s="60">
        <f t="shared" si="1"/>
        <v>47570</v>
      </c>
      <c r="D18" s="61">
        <f>FORECAST(B18,$D$4:$D$13,$B$4:$B$13)</f>
        <v>578787.0975151516</v>
      </c>
      <c r="E18" s="62">
        <f t="shared" si="2"/>
        <v>5.5344323708302667E-2</v>
      </c>
      <c r="G18" s="59">
        <f t="shared" si="3"/>
        <v>15</v>
      </c>
      <c r="H18" s="60">
        <f t="shared" si="4"/>
        <v>47570</v>
      </c>
      <c r="I18" s="61">
        <f>FORECAST(G18,$I$4:$I$13,$G$4:$G$13)</f>
        <v>21349.939393939392</v>
      </c>
      <c r="J18" s="62">
        <f t="shared" si="5"/>
        <v>5.5632302395200561E-2</v>
      </c>
      <c r="L18" s="59">
        <f t="shared" si="6"/>
        <v>15</v>
      </c>
      <c r="M18" s="60">
        <f t="shared" si="7"/>
        <v>47570</v>
      </c>
      <c r="N18" s="61">
        <f t="shared" si="10"/>
        <v>58.745104527281867</v>
      </c>
      <c r="O18" s="62">
        <f t="shared" si="8"/>
        <v>5.3363802858533926E-2</v>
      </c>
    </row>
    <row r="19" spans="2:15" x14ac:dyDescent="0.3">
      <c r="B19" s="53"/>
      <c r="C19" s="56"/>
    </row>
    <row r="20" spans="2:15" x14ac:dyDescent="0.3">
      <c r="B20" s="53"/>
      <c r="C20" s="56"/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8101-D547-4CB0-AAF0-928EE804E0DD}">
  <sheetPr>
    <tabColor theme="4" tint="-0.249977111117893"/>
  </sheetPr>
  <dimension ref="J16"/>
  <sheetViews>
    <sheetView workbookViewId="0">
      <selection activeCell="J16" sqref="J16"/>
    </sheetView>
  </sheetViews>
  <sheetFormatPr defaultRowHeight="14.4" x14ac:dyDescent="0.3"/>
  <sheetData>
    <row r="16" spans="10:10" x14ac:dyDescent="0.3">
      <c r="J1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0D2D-4531-44AC-AB24-FC92A827D3E5}">
  <dimension ref="B2:N35"/>
  <sheetViews>
    <sheetView showGridLines="0" topLeftCell="A12" workbookViewId="0">
      <selection activeCell="E37" sqref="E37"/>
    </sheetView>
  </sheetViews>
  <sheetFormatPr defaultColWidth="10.77734375" defaultRowHeight="14.4" x14ac:dyDescent="0.3"/>
  <cols>
    <col min="1" max="1" width="1.88671875" customWidth="1"/>
    <col min="2" max="2" width="34.109375" bestFit="1" customWidth="1"/>
    <col min="3" max="14" width="8.77734375" customWidth="1"/>
  </cols>
  <sheetData>
    <row r="2" spans="2:14" x14ac:dyDescent="0.3">
      <c r="C2" s="29">
        <v>41699</v>
      </c>
      <c r="D2" s="29">
        <v>42064</v>
      </c>
      <c r="E2" s="29">
        <v>42430</v>
      </c>
      <c r="F2" s="29">
        <v>42795</v>
      </c>
      <c r="G2" s="29">
        <v>43160</v>
      </c>
      <c r="H2" s="29">
        <v>43525</v>
      </c>
      <c r="I2" s="29">
        <v>43891</v>
      </c>
      <c r="J2" s="29">
        <v>44256</v>
      </c>
      <c r="K2" s="29">
        <v>44621</v>
      </c>
      <c r="L2" s="29">
        <v>44986</v>
      </c>
      <c r="M2" s="29">
        <v>45352</v>
      </c>
      <c r="N2" s="29">
        <v>45717</v>
      </c>
    </row>
    <row r="3" spans="2:14" x14ac:dyDescent="0.3">
      <c r="B3" s="31" t="s">
        <v>112</v>
      </c>
      <c r="C3" s="27">
        <v>3818</v>
      </c>
      <c r="D3" s="27">
        <v>3292</v>
      </c>
      <c r="E3" s="27">
        <v>4171</v>
      </c>
      <c r="F3" s="27">
        <v>5185</v>
      </c>
      <c r="G3" s="27">
        <v>6059</v>
      </c>
      <c r="H3" s="27">
        <v>5800</v>
      </c>
      <c r="I3" s="27">
        <v>7623</v>
      </c>
      <c r="J3" s="27">
        <v>9163</v>
      </c>
      <c r="K3" s="27">
        <v>9048</v>
      </c>
      <c r="L3" s="27">
        <v>9991</v>
      </c>
      <c r="M3" s="27">
        <v>15469</v>
      </c>
      <c r="N3" s="27">
        <v>11886</v>
      </c>
    </row>
    <row r="4" spans="2:14" x14ac:dyDescent="0.3">
      <c r="B4" s="26" t="s">
        <v>90</v>
      </c>
      <c r="C4" s="27">
        <v>4802</v>
      </c>
      <c r="D4" s="27">
        <v>5510</v>
      </c>
      <c r="E4" s="27">
        <v>6025</v>
      </c>
      <c r="F4" s="27">
        <v>6512</v>
      </c>
      <c r="G4" s="27">
        <v>7485</v>
      </c>
      <c r="H4" s="27">
        <v>8909</v>
      </c>
      <c r="I4" s="27">
        <v>9723</v>
      </c>
      <c r="J4" s="27">
        <v>11672</v>
      </c>
      <c r="K4" s="27">
        <v>12829</v>
      </c>
      <c r="L4" s="27">
        <v>14089</v>
      </c>
      <c r="M4" s="27">
        <v>14537</v>
      </c>
      <c r="N4" s="27">
        <v>14942</v>
      </c>
    </row>
    <row r="5" spans="2:14" x14ac:dyDescent="0.3">
      <c r="B5" s="26" t="s">
        <v>46</v>
      </c>
      <c r="C5" s="28">
        <v>-17</v>
      </c>
      <c r="D5" s="27">
        <v>3</v>
      </c>
      <c r="E5" s="27">
        <v>-257</v>
      </c>
      <c r="F5" s="27">
        <v>173</v>
      </c>
      <c r="G5" s="27">
        <v>0</v>
      </c>
      <c r="H5" s="27">
        <v>0</v>
      </c>
      <c r="I5" s="27">
        <v>0</v>
      </c>
      <c r="J5" s="27">
        <v>0</v>
      </c>
      <c r="K5" s="28">
        <v>0</v>
      </c>
      <c r="L5" s="27">
        <v>0</v>
      </c>
      <c r="M5" s="27">
        <v>0</v>
      </c>
      <c r="N5" s="27">
        <v>0</v>
      </c>
    </row>
    <row r="6" spans="2:14" x14ac:dyDescent="0.3">
      <c r="B6" s="26" t="s">
        <v>47</v>
      </c>
      <c r="C6" s="27">
        <v>-201</v>
      </c>
      <c r="D6" s="27">
        <v>91</v>
      </c>
      <c r="E6" s="27">
        <v>89</v>
      </c>
      <c r="F6" s="27">
        <v>37</v>
      </c>
      <c r="G6" s="27">
        <v>-146</v>
      </c>
      <c r="H6" s="27">
        <v>-195</v>
      </c>
      <c r="I6" s="27">
        <v>-331</v>
      </c>
      <c r="J6" s="27">
        <v>-543</v>
      </c>
      <c r="K6" s="28">
        <v>-758</v>
      </c>
      <c r="L6" s="27">
        <v>-339</v>
      </c>
      <c r="M6" s="27">
        <v>74</v>
      </c>
      <c r="N6" s="27">
        <v>-584</v>
      </c>
    </row>
    <row r="7" spans="2:14" x14ac:dyDescent="0.3">
      <c r="B7" s="26" t="s">
        <v>91</v>
      </c>
      <c r="C7" s="27">
        <v>546</v>
      </c>
      <c r="D7" s="27">
        <v>-327</v>
      </c>
      <c r="E7" s="27">
        <v>164</v>
      </c>
      <c r="F7" s="27">
        <v>501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</row>
    <row r="8" spans="2:14" x14ac:dyDescent="0.3">
      <c r="B8" s="26" t="s">
        <v>92</v>
      </c>
      <c r="C8" s="28">
        <v>-4</v>
      </c>
      <c r="D8" s="28">
        <v>-148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</row>
    <row r="9" spans="2:14" x14ac:dyDescent="0.3">
      <c r="B9" s="26" t="s">
        <v>159</v>
      </c>
      <c r="C9" s="27">
        <v>0</v>
      </c>
      <c r="D9" s="28">
        <v>0</v>
      </c>
      <c r="E9" s="27">
        <v>0</v>
      </c>
      <c r="F9" s="27">
        <v>-46</v>
      </c>
      <c r="G9" s="28">
        <v>0</v>
      </c>
      <c r="H9" s="27">
        <v>0</v>
      </c>
      <c r="I9" s="28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</row>
    <row r="10" spans="2:14" x14ac:dyDescent="0.3">
      <c r="B10" s="26" t="s">
        <v>93</v>
      </c>
      <c r="C10" s="27">
        <v>81</v>
      </c>
      <c r="D10" s="27">
        <v>38</v>
      </c>
      <c r="E10" s="27">
        <v>-77</v>
      </c>
      <c r="F10" s="27">
        <v>-99</v>
      </c>
      <c r="G10" s="27">
        <v>982</v>
      </c>
      <c r="H10" s="27">
        <v>-147</v>
      </c>
      <c r="I10" s="27">
        <v>742</v>
      </c>
      <c r="J10" s="28">
        <v>442</v>
      </c>
      <c r="K10" s="27">
        <v>-242</v>
      </c>
      <c r="L10" s="27">
        <v>-621</v>
      </c>
      <c r="M10" s="27">
        <v>1239</v>
      </c>
      <c r="N10" s="27">
        <v>-204</v>
      </c>
    </row>
    <row r="11" spans="2:14" x14ac:dyDescent="0.3">
      <c r="B11" s="26" t="s">
        <v>94</v>
      </c>
      <c r="C11" s="27">
        <v>405</v>
      </c>
      <c r="D11" s="27">
        <v>-342</v>
      </c>
      <c r="E11" s="27">
        <v>-81</v>
      </c>
      <c r="F11" s="27">
        <v>566</v>
      </c>
      <c r="G11" s="27">
        <v>836</v>
      </c>
      <c r="H11" s="27">
        <v>-342</v>
      </c>
      <c r="I11" s="27">
        <v>411</v>
      </c>
      <c r="J11" s="27">
        <v>-101</v>
      </c>
      <c r="K11" s="27">
        <v>-1000</v>
      </c>
      <c r="L11" s="27">
        <v>-960</v>
      </c>
      <c r="M11" s="27">
        <v>1313</v>
      </c>
      <c r="N11" s="27">
        <v>-788</v>
      </c>
    </row>
    <row r="12" spans="2:14" x14ac:dyDescent="0.3">
      <c r="B12" s="26" t="s">
        <v>95</v>
      </c>
      <c r="C12" s="27">
        <v>-1384</v>
      </c>
      <c r="D12" s="27">
        <v>-1862</v>
      </c>
      <c r="E12" s="27">
        <v>-1765</v>
      </c>
      <c r="F12" s="27">
        <v>-1859</v>
      </c>
      <c r="G12" s="27">
        <v>-2264</v>
      </c>
      <c r="H12" s="27">
        <v>-2767</v>
      </c>
      <c r="I12" s="27">
        <v>-2505</v>
      </c>
      <c r="J12" s="27">
        <v>-2407</v>
      </c>
      <c r="K12" s="27">
        <v>-2784</v>
      </c>
      <c r="L12" s="27">
        <v>-3138</v>
      </c>
      <c r="M12" s="27">
        <v>-381</v>
      </c>
      <c r="N12" s="27">
        <v>-2268</v>
      </c>
    </row>
    <row r="13" spans="2:14" x14ac:dyDescent="0.3">
      <c r="B13" s="26" t="s">
        <v>160</v>
      </c>
      <c r="C13" s="27">
        <v>-5</v>
      </c>
      <c r="D13" s="27">
        <v>-14</v>
      </c>
      <c r="E13" s="27">
        <v>-8</v>
      </c>
      <c r="F13" s="27">
        <v>-21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</row>
    <row r="14" spans="2:14" x14ac:dyDescent="0.3">
      <c r="B14" s="26" t="s">
        <v>161</v>
      </c>
      <c r="C14" s="28">
        <v>0</v>
      </c>
      <c r="D14" s="28">
        <v>0</v>
      </c>
      <c r="E14" s="28">
        <v>0</v>
      </c>
      <c r="F14" s="28">
        <v>-13</v>
      </c>
      <c r="G14" s="28">
        <v>2</v>
      </c>
      <c r="H14" s="28">
        <v>0</v>
      </c>
      <c r="I14" s="28">
        <v>-6</v>
      </c>
      <c r="J14" s="28">
        <v>-1</v>
      </c>
      <c r="K14" s="28">
        <v>3</v>
      </c>
      <c r="L14" s="28">
        <v>0</v>
      </c>
      <c r="M14" s="28">
        <v>0</v>
      </c>
      <c r="N14" s="28">
        <v>0</v>
      </c>
    </row>
    <row r="15" spans="2:14" x14ac:dyDescent="0.3">
      <c r="B15" s="26" t="s">
        <v>113</v>
      </c>
      <c r="C15" s="28">
        <v>-475</v>
      </c>
      <c r="D15" s="27">
        <v>138</v>
      </c>
      <c r="E15" s="27">
        <v>-282</v>
      </c>
      <c r="F15" s="27">
        <v>-1173</v>
      </c>
      <c r="G15" s="27">
        <v>-1063</v>
      </c>
      <c r="H15" s="28">
        <v>-438</v>
      </c>
      <c r="I15" s="27">
        <v>1791</v>
      </c>
      <c r="J15" s="30">
        <v>-1228</v>
      </c>
      <c r="K15" s="30">
        <v>-1728</v>
      </c>
      <c r="L15" s="30">
        <v>-1484</v>
      </c>
      <c r="M15" s="30">
        <v>-5324</v>
      </c>
      <c r="N15" s="30">
        <v>6473</v>
      </c>
    </row>
    <row r="16" spans="2:14" x14ac:dyDescent="0.3">
      <c r="B16" s="26" t="s">
        <v>96</v>
      </c>
      <c r="C16" s="28">
        <v>-606</v>
      </c>
      <c r="D16" s="28">
        <v>-606</v>
      </c>
      <c r="E16" s="28">
        <v>-810</v>
      </c>
      <c r="F16" s="27">
        <v>-1113</v>
      </c>
      <c r="G16" s="27">
        <v>-895</v>
      </c>
      <c r="H16" s="27">
        <v>-767</v>
      </c>
      <c r="I16" s="28">
        <v>-862</v>
      </c>
      <c r="J16" s="30">
        <v>-4163</v>
      </c>
      <c r="K16" s="30">
        <v>-1228</v>
      </c>
      <c r="L16" s="30">
        <v>-1192</v>
      </c>
      <c r="M16" s="30">
        <v>-1477</v>
      </c>
      <c r="N16" s="30">
        <v>-1275</v>
      </c>
    </row>
    <row r="17" spans="2:14" x14ac:dyDescent="0.3">
      <c r="B17" s="26" t="s">
        <v>97</v>
      </c>
      <c r="C17" s="28">
        <v>229</v>
      </c>
      <c r="D17" s="28">
        <v>560</v>
      </c>
      <c r="E17" s="28">
        <v>99</v>
      </c>
      <c r="F17" s="28">
        <v>176</v>
      </c>
      <c r="G17" s="28">
        <v>32</v>
      </c>
      <c r="H17" s="28">
        <v>13</v>
      </c>
      <c r="I17" s="27">
        <v>52</v>
      </c>
      <c r="J17">
        <v>97</v>
      </c>
      <c r="K17">
        <v>175</v>
      </c>
      <c r="L17">
        <v>181</v>
      </c>
      <c r="M17" s="30">
        <v>20</v>
      </c>
      <c r="N17" s="30">
        <v>13</v>
      </c>
    </row>
    <row r="18" spans="2:14" x14ac:dyDescent="0.3">
      <c r="B18" s="26" t="s">
        <v>98</v>
      </c>
      <c r="C18" s="27">
        <v>-9538</v>
      </c>
      <c r="D18" s="27">
        <v>-19353</v>
      </c>
      <c r="E18" s="27">
        <v>-20666</v>
      </c>
      <c r="F18" s="27">
        <v>-31214</v>
      </c>
      <c r="G18" s="27">
        <v>-51855</v>
      </c>
      <c r="H18" s="27">
        <v>-74365</v>
      </c>
      <c r="I18" s="27">
        <v>-36090</v>
      </c>
      <c r="J18" s="30">
        <v>-39920</v>
      </c>
      <c r="K18" s="30">
        <v>-48522</v>
      </c>
      <c r="L18" s="30">
        <v>-22649</v>
      </c>
      <c r="M18" s="30">
        <v>-21337</v>
      </c>
      <c r="N18" s="30">
        <v>-22957</v>
      </c>
    </row>
    <row r="19" spans="2:14" x14ac:dyDescent="0.3">
      <c r="B19" s="26" t="s">
        <v>99</v>
      </c>
      <c r="C19" s="27">
        <v>9213</v>
      </c>
      <c r="D19" s="27">
        <v>19461</v>
      </c>
      <c r="E19" s="27">
        <v>20937</v>
      </c>
      <c r="F19" s="27">
        <v>30083</v>
      </c>
      <c r="G19" s="27">
        <v>52897</v>
      </c>
      <c r="H19" s="27">
        <v>74691</v>
      </c>
      <c r="I19" s="27">
        <v>37690</v>
      </c>
      <c r="J19" s="27">
        <v>38486</v>
      </c>
      <c r="K19" s="27">
        <v>47786</v>
      </c>
      <c r="L19" s="27">
        <v>23462</v>
      </c>
      <c r="M19" s="27">
        <v>19846</v>
      </c>
      <c r="N19" s="27">
        <v>23987</v>
      </c>
    </row>
    <row r="20" spans="2:14" x14ac:dyDescent="0.3">
      <c r="B20" s="26" t="s">
        <v>100</v>
      </c>
      <c r="C20" s="28">
        <v>232</v>
      </c>
      <c r="D20" s="28">
        <v>218</v>
      </c>
      <c r="E20" s="28">
        <v>315</v>
      </c>
      <c r="F20" s="28">
        <v>264</v>
      </c>
      <c r="G20" s="28">
        <v>297</v>
      </c>
      <c r="H20" s="28">
        <v>289</v>
      </c>
      <c r="I20" s="28">
        <v>351</v>
      </c>
      <c r="J20" s="28">
        <v>277</v>
      </c>
      <c r="K20" s="28">
        <v>161</v>
      </c>
      <c r="L20" s="28">
        <v>259</v>
      </c>
      <c r="M20" s="28">
        <v>425</v>
      </c>
      <c r="N20" s="28">
        <v>835</v>
      </c>
    </row>
    <row r="21" spans="2:14" x14ac:dyDescent="0.3">
      <c r="B21" s="26" t="s">
        <v>101</v>
      </c>
      <c r="C21" s="28">
        <v>16</v>
      </c>
      <c r="D21" s="28">
        <v>24</v>
      </c>
      <c r="E21" s="28">
        <v>33</v>
      </c>
      <c r="F21" s="28">
        <v>14</v>
      </c>
      <c r="G21" s="28">
        <v>0</v>
      </c>
      <c r="H21" s="28">
        <v>1</v>
      </c>
      <c r="I21" s="28">
        <v>1</v>
      </c>
      <c r="J21" s="28">
        <v>1</v>
      </c>
      <c r="K21" s="28">
        <v>1</v>
      </c>
      <c r="L21" s="28">
        <v>2</v>
      </c>
      <c r="M21" s="28">
        <v>3</v>
      </c>
      <c r="N21" s="28">
        <v>0</v>
      </c>
    </row>
    <row r="22" spans="2:14" x14ac:dyDescent="0.3">
      <c r="B22" s="26" t="s">
        <v>162</v>
      </c>
      <c r="C22" s="28">
        <v>-101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</row>
    <row r="23" spans="2:14" x14ac:dyDescent="0.3">
      <c r="B23" s="26" t="s">
        <v>163</v>
      </c>
      <c r="C23" s="27">
        <v>-104</v>
      </c>
      <c r="D23" s="28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</row>
    <row r="24" spans="2:14" x14ac:dyDescent="0.3">
      <c r="B24" s="26" t="s">
        <v>102</v>
      </c>
      <c r="C24" s="27">
        <v>0</v>
      </c>
      <c r="D24" s="27">
        <v>200</v>
      </c>
      <c r="E24" s="27">
        <v>161</v>
      </c>
      <c r="F24" s="27">
        <v>20</v>
      </c>
      <c r="G24" s="27">
        <v>73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</row>
    <row r="25" spans="2:14" x14ac:dyDescent="0.3">
      <c r="B25" s="26" t="s">
        <v>103</v>
      </c>
      <c r="C25" s="28">
        <v>0</v>
      </c>
      <c r="D25" s="28">
        <v>0</v>
      </c>
      <c r="E25" s="27">
        <v>0</v>
      </c>
      <c r="F25" s="28">
        <v>0</v>
      </c>
      <c r="G25" s="28">
        <v>0</v>
      </c>
      <c r="H25" s="28">
        <v>0</v>
      </c>
      <c r="I25" s="27">
        <v>0</v>
      </c>
      <c r="J25" s="27">
        <v>0</v>
      </c>
      <c r="K25" s="28">
        <v>0</v>
      </c>
      <c r="L25" s="28">
        <v>-334</v>
      </c>
      <c r="M25" s="28">
        <v>0</v>
      </c>
      <c r="N25" s="27">
        <v>0</v>
      </c>
    </row>
    <row r="26" spans="2:14" x14ac:dyDescent="0.3">
      <c r="B26" s="26" t="s">
        <v>104</v>
      </c>
      <c r="C26" s="28">
        <v>183</v>
      </c>
      <c r="D26" s="28">
        <v>-367</v>
      </c>
      <c r="E26" s="28">
        <v>-351</v>
      </c>
      <c r="F26" s="28">
        <v>597</v>
      </c>
      <c r="G26" s="27">
        <v>-1612</v>
      </c>
      <c r="H26" s="28">
        <v>-300</v>
      </c>
      <c r="I26" s="28">
        <v>649</v>
      </c>
      <c r="J26" s="27">
        <v>3994</v>
      </c>
      <c r="K26" s="28">
        <v>-101</v>
      </c>
      <c r="L26" s="27">
        <v>-1213</v>
      </c>
      <c r="M26" s="27">
        <v>-2804</v>
      </c>
      <c r="N26" s="27">
        <v>5870</v>
      </c>
    </row>
    <row r="27" spans="2:14" x14ac:dyDescent="0.3">
      <c r="B27" s="26" t="s">
        <v>114</v>
      </c>
      <c r="C27" s="27">
        <v>-2960</v>
      </c>
      <c r="D27" s="27">
        <v>-3462</v>
      </c>
      <c r="E27" s="27">
        <v>-3864</v>
      </c>
      <c r="F27" s="27">
        <v>-4214</v>
      </c>
      <c r="G27" s="27">
        <v>-4975</v>
      </c>
      <c r="H27" s="27">
        <v>-5390</v>
      </c>
      <c r="I27" s="27">
        <v>-6819</v>
      </c>
      <c r="J27" s="27">
        <v>-9309</v>
      </c>
      <c r="K27" s="27">
        <v>-8015</v>
      </c>
      <c r="L27" s="27">
        <v>-8953</v>
      </c>
      <c r="M27" s="27">
        <v>-10034</v>
      </c>
      <c r="N27" s="27">
        <v>-13101</v>
      </c>
    </row>
    <row r="28" spans="2:14" x14ac:dyDescent="0.3">
      <c r="B28" s="26" t="s">
        <v>105</v>
      </c>
      <c r="C28" s="27">
        <v>2</v>
      </c>
      <c r="D28" s="27">
        <v>2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</row>
    <row r="29" spans="2:14" x14ac:dyDescent="0.3">
      <c r="B29" s="26" t="s">
        <v>106</v>
      </c>
      <c r="C29" s="27">
        <v>0</v>
      </c>
      <c r="D29" s="27">
        <v>0</v>
      </c>
      <c r="E29" s="27">
        <v>177</v>
      </c>
      <c r="F29" s="27">
        <v>460</v>
      </c>
      <c r="G29" s="27">
        <v>0</v>
      </c>
      <c r="H29" s="27">
        <v>99</v>
      </c>
      <c r="I29" s="27">
        <v>0</v>
      </c>
      <c r="J29" s="27">
        <v>188</v>
      </c>
      <c r="K29" s="27">
        <v>55</v>
      </c>
      <c r="L29" s="27">
        <v>286</v>
      </c>
      <c r="M29" s="27">
        <v>0</v>
      </c>
      <c r="N29" s="27">
        <v>0</v>
      </c>
    </row>
    <row r="30" spans="2:14" x14ac:dyDescent="0.3">
      <c r="B30" s="26" t="s">
        <v>107</v>
      </c>
      <c r="C30" s="28">
        <v>-15</v>
      </c>
      <c r="D30" s="28">
        <v>-3</v>
      </c>
      <c r="E30" s="28">
        <v>0</v>
      </c>
      <c r="F30" s="28">
        <v>-360</v>
      </c>
      <c r="G30" s="28">
        <v>-277</v>
      </c>
      <c r="H30" s="28">
        <v>0</v>
      </c>
      <c r="I30" s="28">
        <v>-99</v>
      </c>
      <c r="J30" s="28">
        <v>-188</v>
      </c>
      <c r="K30" s="28">
        <v>-55</v>
      </c>
      <c r="L30" s="28">
        <v>-208</v>
      </c>
      <c r="M30" s="27">
        <v>-85</v>
      </c>
      <c r="N30" s="27">
        <v>0</v>
      </c>
    </row>
    <row r="31" spans="2:14" x14ac:dyDescent="0.3">
      <c r="B31" s="26" t="s">
        <v>108</v>
      </c>
      <c r="C31" s="28">
        <v>-29</v>
      </c>
      <c r="D31" s="28">
        <v>-18</v>
      </c>
      <c r="E31" s="28">
        <v>-2</v>
      </c>
      <c r="F31" s="28">
        <v>-14</v>
      </c>
      <c r="G31" s="28">
        <v>-6</v>
      </c>
      <c r="H31" s="28">
        <v>-7</v>
      </c>
      <c r="I31" s="27">
        <v>-90</v>
      </c>
      <c r="J31" s="27">
        <v>-92</v>
      </c>
      <c r="K31" s="27">
        <v>-82</v>
      </c>
      <c r="L31" s="27">
        <v>-88</v>
      </c>
      <c r="M31" s="27">
        <v>-110</v>
      </c>
      <c r="N31" s="27">
        <v>-130</v>
      </c>
    </row>
    <row r="32" spans="2:14" x14ac:dyDescent="0.3">
      <c r="B32" s="26" t="s">
        <v>109</v>
      </c>
      <c r="C32" s="27">
        <v>-2481</v>
      </c>
      <c r="D32" s="27">
        <v>-2912</v>
      </c>
      <c r="E32" s="27">
        <v>-3354</v>
      </c>
      <c r="F32" s="27">
        <v>-3572</v>
      </c>
      <c r="G32" s="27">
        <v>-3911</v>
      </c>
      <c r="H32" s="27">
        <v>-4554</v>
      </c>
      <c r="I32" s="27">
        <v>-5196</v>
      </c>
      <c r="J32" s="27">
        <v>-8811</v>
      </c>
      <c r="K32" s="27">
        <v>-7526</v>
      </c>
      <c r="L32" s="27">
        <v>-8474</v>
      </c>
      <c r="M32" s="27">
        <v>-9416</v>
      </c>
      <c r="N32" s="27">
        <v>-12473</v>
      </c>
    </row>
    <row r="33" spans="2:14" x14ac:dyDescent="0.3">
      <c r="B33" s="26" t="s">
        <v>110</v>
      </c>
      <c r="C33" s="27">
        <v>0</v>
      </c>
      <c r="D33" s="27">
        <v>0</v>
      </c>
      <c r="E33" s="27">
        <v>0</v>
      </c>
      <c r="F33" s="27">
        <v>0</v>
      </c>
      <c r="G33" s="28">
        <v>0</v>
      </c>
      <c r="H33" s="27">
        <v>0</v>
      </c>
      <c r="I33" s="27">
        <v>-373</v>
      </c>
      <c r="J33" s="27">
        <v>-406</v>
      </c>
      <c r="K33" s="27">
        <v>-407</v>
      </c>
      <c r="L33" s="27">
        <v>-467</v>
      </c>
      <c r="M33" s="27">
        <v>-423</v>
      </c>
      <c r="N33" s="27">
        <v>-498</v>
      </c>
    </row>
    <row r="34" spans="2:14" x14ac:dyDescent="0.3">
      <c r="B34" t="s">
        <v>111</v>
      </c>
      <c r="C34">
        <v>-437</v>
      </c>
      <c r="D34">
        <v>-533</v>
      </c>
      <c r="E34">
        <v>-685</v>
      </c>
      <c r="F34">
        <v>-728</v>
      </c>
      <c r="G34">
        <v>-781</v>
      </c>
      <c r="H34">
        <v>-928</v>
      </c>
      <c r="I34" s="30">
        <v>-1061</v>
      </c>
      <c r="J34">
        <v>0</v>
      </c>
      <c r="K34">
        <v>0</v>
      </c>
      <c r="L34">
        <v>-2</v>
      </c>
      <c r="M34">
        <v>0</v>
      </c>
      <c r="N34">
        <v>0</v>
      </c>
    </row>
    <row r="35" spans="2:14" x14ac:dyDescent="0.3">
      <c r="B35" t="s">
        <v>56</v>
      </c>
      <c r="C35">
        <v>383</v>
      </c>
      <c r="D35">
        <v>-33</v>
      </c>
      <c r="E35">
        <v>25</v>
      </c>
      <c r="F35">
        <v>-202</v>
      </c>
      <c r="G35">
        <v>21</v>
      </c>
      <c r="H35">
        <v>-28</v>
      </c>
      <c r="I35" s="30">
        <v>2595</v>
      </c>
      <c r="J35" s="30">
        <v>-1374</v>
      </c>
      <c r="K35">
        <v>-695</v>
      </c>
      <c r="L35">
        <v>-446</v>
      </c>
      <c r="M35">
        <v>111</v>
      </c>
      <c r="N35" s="30">
        <v>5258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3AE9-6F25-4F8B-A972-C9589D6B79EB}">
  <sheetPr>
    <tabColor rgb="FFFF0000"/>
  </sheetPr>
  <dimension ref="A1:K93"/>
  <sheetViews>
    <sheetView zoomScale="120" zoomScaleNormal="120" zoomScalePageLayoutView="120" workbookViewId="0">
      <pane xSplit="1" ySplit="1" topLeftCell="B74" activePane="bottomRight" state="frozen"/>
      <selection activeCell="C4" sqref="C4"/>
      <selection pane="topRight" activeCell="C4" sqref="C4"/>
      <selection pane="bottomLeft" activeCell="C4" sqref="C4"/>
      <selection pane="bottomRight" activeCell="E71" sqref="E71"/>
    </sheetView>
  </sheetViews>
  <sheetFormatPr defaultColWidth="8.77734375" defaultRowHeight="14.4" x14ac:dyDescent="0.3"/>
  <cols>
    <col min="1" max="1" width="27.6640625" style="8" bestFit="1" customWidth="1"/>
    <col min="2" max="11" width="13.44140625" style="8" bestFit="1" customWidth="1"/>
    <col min="12" max="16384" width="8.77734375" style="8"/>
  </cols>
  <sheetData>
    <row r="1" spans="1:11" s="7" customFormat="1" x14ac:dyDescent="0.3">
      <c r="A1" s="7" t="s">
        <v>8</v>
      </c>
      <c r="B1" s="7" t="s">
        <v>9</v>
      </c>
      <c r="E1" s="67" t="str">
        <f>IF(B2&lt;&gt;B3, "A NEW VERSION OF THE WORKSHEET IS AVAILABLE", "")</f>
        <v/>
      </c>
      <c r="F1" s="67"/>
      <c r="G1" s="67"/>
      <c r="H1" s="67"/>
      <c r="I1" s="67"/>
      <c r="J1" s="67"/>
      <c r="K1" s="67"/>
    </row>
    <row r="2" spans="1:11" x14ac:dyDescent="0.3">
      <c r="A2" s="7" t="s">
        <v>10</v>
      </c>
      <c r="B2" s="8">
        <v>2.1</v>
      </c>
      <c r="E2" s="68" t="s">
        <v>11</v>
      </c>
      <c r="F2" s="68"/>
      <c r="G2" s="68"/>
      <c r="H2" s="68"/>
      <c r="I2" s="68"/>
      <c r="J2" s="68"/>
      <c r="K2" s="68"/>
    </row>
    <row r="3" spans="1:11" x14ac:dyDescent="0.3">
      <c r="A3" s="7" t="s">
        <v>12</v>
      </c>
      <c r="B3" s="8">
        <v>2.1</v>
      </c>
    </row>
    <row r="4" spans="1:11" x14ac:dyDescent="0.3">
      <c r="A4" s="7"/>
    </row>
    <row r="5" spans="1:11" x14ac:dyDescent="0.3">
      <c r="A5" s="7" t="s">
        <v>13</v>
      </c>
    </row>
    <row r="6" spans="1:11" x14ac:dyDescent="0.3">
      <c r="A6" s="8" t="s">
        <v>14</v>
      </c>
      <c r="B6" s="8">
        <f>IF(B9&gt;0, B9/B8, 0)</f>
        <v>234.95911171450734</v>
      </c>
    </row>
    <row r="7" spans="1:11" x14ac:dyDescent="0.3">
      <c r="A7" s="8" t="s">
        <v>15</v>
      </c>
      <c r="B7">
        <v>1</v>
      </c>
    </row>
    <row r="8" spans="1:11" x14ac:dyDescent="0.3">
      <c r="A8" s="8" t="s">
        <v>16</v>
      </c>
      <c r="B8">
        <v>2578</v>
      </c>
    </row>
    <row r="9" spans="1:11" x14ac:dyDescent="0.3">
      <c r="A9" s="8" t="s">
        <v>17</v>
      </c>
      <c r="B9">
        <v>605724.59</v>
      </c>
    </row>
    <row r="15" spans="1:11" x14ac:dyDescent="0.3">
      <c r="A15" s="7" t="s">
        <v>18</v>
      </c>
    </row>
    <row r="16" spans="1:11" s="11" customFormat="1" x14ac:dyDescent="0.3">
      <c r="A16" s="9" t="s">
        <v>19</v>
      </c>
      <c r="B16" s="10">
        <v>42460</v>
      </c>
      <c r="C16" s="10">
        <v>42825</v>
      </c>
      <c r="D16" s="10">
        <v>43190</v>
      </c>
      <c r="E16" s="10">
        <v>43555</v>
      </c>
      <c r="F16" s="10">
        <v>43921</v>
      </c>
      <c r="G16" s="10">
        <v>44286</v>
      </c>
      <c r="H16" s="10">
        <v>44651</v>
      </c>
      <c r="I16" s="10">
        <v>45016</v>
      </c>
      <c r="J16" s="10">
        <v>45382</v>
      </c>
      <c r="K16" s="10">
        <v>45747</v>
      </c>
    </row>
    <row r="17" spans="1:11" s="12" customFormat="1" x14ac:dyDescent="0.3">
      <c r="A17" s="12" t="s">
        <v>20</v>
      </c>
      <c r="B17">
        <v>32186</v>
      </c>
      <c r="C17">
        <v>33162</v>
      </c>
      <c r="D17">
        <v>35545</v>
      </c>
      <c r="E17">
        <v>39310</v>
      </c>
      <c r="F17">
        <v>39783</v>
      </c>
      <c r="G17">
        <v>47028</v>
      </c>
      <c r="H17">
        <v>52446</v>
      </c>
      <c r="I17">
        <v>60580</v>
      </c>
      <c r="J17">
        <v>61896</v>
      </c>
      <c r="K17">
        <v>63121</v>
      </c>
    </row>
    <row r="18" spans="1:11" s="12" customFormat="1" x14ac:dyDescent="0.3">
      <c r="A18" s="8" t="s">
        <v>21</v>
      </c>
      <c r="B18">
        <v>13184</v>
      </c>
      <c r="C18">
        <v>13606</v>
      </c>
      <c r="D18">
        <v>14233</v>
      </c>
      <c r="E18">
        <v>15845</v>
      </c>
      <c r="F18">
        <v>15697</v>
      </c>
      <c r="G18">
        <v>20141</v>
      </c>
      <c r="H18">
        <v>22871</v>
      </c>
      <c r="I18">
        <v>28427</v>
      </c>
      <c r="J18">
        <v>26822</v>
      </c>
      <c r="K18">
        <v>27344</v>
      </c>
    </row>
    <row r="19" spans="1:11" s="12" customFormat="1" x14ac:dyDescent="0.3">
      <c r="A19" s="8" t="s">
        <v>22</v>
      </c>
      <c r="B19">
        <v>-83</v>
      </c>
      <c r="C19">
        <v>-144</v>
      </c>
      <c r="D19">
        <v>72</v>
      </c>
      <c r="E19">
        <v>-12</v>
      </c>
      <c r="F19">
        <v>108</v>
      </c>
      <c r="G19">
        <v>405</v>
      </c>
      <c r="H19">
        <v>22</v>
      </c>
      <c r="I19">
        <v>75</v>
      </c>
      <c r="J19">
        <v>11</v>
      </c>
      <c r="K19">
        <v>153</v>
      </c>
    </row>
    <row r="20" spans="1:11" s="12" customFormat="1" x14ac:dyDescent="0.3">
      <c r="A20" s="8" t="s">
        <v>23</v>
      </c>
      <c r="B20">
        <v>309</v>
      </c>
      <c r="C20">
        <v>295</v>
      </c>
      <c r="D20">
        <v>295</v>
      </c>
      <c r="E20">
        <v>308</v>
      </c>
      <c r="F20">
        <v>299</v>
      </c>
      <c r="G20">
        <v>339</v>
      </c>
      <c r="H20">
        <v>318</v>
      </c>
      <c r="I20">
        <v>384</v>
      </c>
      <c r="J20">
        <v>446</v>
      </c>
      <c r="K20">
        <v>427</v>
      </c>
    </row>
    <row r="21" spans="1:11" s="12" customFormat="1" x14ac:dyDescent="0.3">
      <c r="A21" s="8" t="s">
        <v>24</v>
      </c>
      <c r="B21">
        <v>2966</v>
      </c>
      <c r="C21">
        <v>2887</v>
      </c>
      <c r="D21">
        <v>2998</v>
      </c>
      <c r="E21">
        <v>3041</v>
      </c>
      <c r="F21">
        <v>2906</v>
      </c>
      <c r="G21">
        <v>2868</v>
      </c>
      <c r="H21">
        <v>3354</v>
      </c>
      <c r="I21">
        <v>3791</v>
      </c>
      <c r="J21">
        <v>3385</v>
      </c>
      <c r="K21">
        <v>3834</v>
      </c>
    </row>
    <row r="22" spans="1:11" s="12" customFormat="1" x14ac:dyDescent="0.3">
      <c r="A22" s="8" t="s">
        <v>25</v>
      </c>
      <c r="B22">
        <v>1680</v>
      </c>
      <c r="C22">
        <v>1743</v>
      </c>
      <c r="D22">
        <v>1860</v>
      </c>
      <c r="E22">
        <v>1875</v>
      </c>
      <c r="F22">
        <v>1820</v>
      </c>
      <c r="G22">
        <v>2358</v>
      </c>
      <c r="H22">
        <v>2545</v>
      </c>
      <c r="I22">
        <v>2854</v>
      </c>
      <c r="J22">
        <v>3009</v>
      </c>
      <c r="K22">
        <v>3077</v>
      </c>
    </row>
    <row r="23" spans="1:11" s="12" customFormat="1" x14ac:dyDescent="0.3">
      <c r="A23" s="8" t="s">
        <v>26</v>
      </c>
      <c r="B23">
        <v>6741</v>
      </c>
      <c r="C23">
        <v>6689</v>
      </c>
      <c r="D23">
        <v>7252</v>
      </c>
      <c r="E23">
        <v>7796</v>
      </c>
      <c r="F23">
        <v>7620</v>
      </c>
      <c r="G23">
        <v>7906</v>
      </c>
      <c r="H23">
        <v>8164</v>
      </c>
      <c r="I23">
        <v>8785</v>
      </c>
      <c r="J23">
        <v>10780</v>
      </c>
      <c r="K23">
        <v>10693</v>
      </c>
    </row>
    <row r="24" spans="1:11" s="12" customFormat="1" x14ac:dyDescent="0.3">
      <c r="A24" s="8" t="s">
        <v>27</v>
      </c>
      <c r="B24">
        <v>1313</v>
      </c>
      <c r="C24">
        <v>1470</v>
      </c>
      <c r="D24">
        <v>1480</v>
      </c>
      <c r="E24">
        <v>1553</v>
      </c>
      <c r="F24">
        <v>1688</v>
      </c>
      <c r="G24">
        <v>2195</v>
      </c>
      <c r="H24">
        <v>2359</v>
      </c>
      <c r="I24">
        <v>2267</v>
      </c>
      <c r="J24">
        <v>2806</v>
      </c>
      <c r="K24">
        <v>3056</v>
      </c>
    </row>
    <row r="25" spans="1:11" s="12" customFormat="1" x14ac:dyDescent="0.3">
      <c r="A25" s="12" t="s">
        <v>28</v>
      </c>
      <c r="B25">
        <v>486</v>
      </c>
      <c r="C25">
        <v>606</v>
      </c>
      <c r="D25">
        <v>353</v>
      </c>
      <c r="E25">
        <v>322</v>
      </c>
      <c r="F25">
        <v>424</v>
      </c>
      <c r="G25">
        <v>170</v>
      </c>
      <c r="H25">
        <v>219</v>
      </c>
      <c r="I25">
        <v>448</v>
      </c>
      <c r="J25">
        <v>817</v>
      </c>
      <c r="K25">
        <v>1322</v>
      </c>
    </row>
    <row r="26" spans="1:11" s="12" customFormat="1" x14ac:dyDescent="0.3">
      <c r="A26" s="12" t="s">
        <v>29</v>
      </c>
      <c r="B26">
        <v>353</v>
      </c>
      <c r="C26">
        <v>432</v>
      </c>
      <c r="D26">
        <v>520</v>
      </c>
      <c r="E26">
        <v>565</v>
      </c>
      <c r="F26">
        <v>1002</v>
      </c>
      <c r="G26">
        <v>1074</v>
      </c>
      <c r="H26">
        <v>1091</v>
      </c>
      <c r="I26">
        <v>1137</v>
      </c>
      <c r="J26">
        <v>1216</v>
      </c>
      <c r="K26">
        <v>1355</v>
      </c>
    </row>
    <row r="27" spans="1:11" s="12" customFormat="1" x14ac:dyDescent="0.3">
      <c r="A27" s="12" t="s">
        <v>3</v>
      </c>
      <c r="B27">
        <v>17</v>
      </c>
      <c r="C27">
        <v>35</v>
      </c>
      <c r="D27">
        <v>26</v>
      </c>
      <c r="E27">
        <v>33</v>
      </c>
      <c r="F27">
        <v>118</v>
      </c>
      <c r="G27">
        <v>117</v>
      </c>
      <c r="H27">
        <v>106</v>
      </c>
      <c r="I27">
        <v>114</v>
      </c>
      <c r="J27">
        <v>334</v>
      </c>
      <c r="K27">
        <v>395</v>
      </c>
    </row>
    <row r="28" spans="1:11" s="12" customFormat="1" x14ac:dyDescent="0.3">
      <c r="A28" s="12" t="s">
        <v>30</v>
      </c>
      <c r="B28">
        <v>6026</v>
      </c>
      <c r="C28">
        <v>6467</v>
      </c>
      <c r="D28">
        <v>7306</v>
      </c>
      <c r="E28">
        <v>8604</v>
      </c>
      <c r="F28">
        <v>9165</v>
      </c>
      <c r="G28">
        <v>10605</v>
      </c>
      <c r="H28">
        <v>11879</v>
      </c>
      <c r="I28">
        <v>13344</v>
      </c>
      <c r="J28">
        <v>13926</v>
      </c>
      <c r="K28">
        <v>14415</v>
      </c>
    </row>
    <row r="29" spans="1:11" s="12" customFormat="1" x14ac:dyDescent="0.3">
      <c r="A29" s="12" t="s">
        <v>31</v>
      </c>
      <c r="B29">
        <v>1875</v>
      </c>
      <c r="C29">
        <v>1977</v>
      </c>
      <c r="D29">
        <v>2079</v>
      </c>
      <c r="E29">
        <v>2544</v>
      </c>
      <c r="F29">
        <v>2409</v>
      </c>
      <c r="G29">
        <v>2606</v>
      </c>
      <c r="H29">
        <v>2987</v>
      </c>
      <c r="I29">
        <v>3201</v>
      </c>
      <c r="J29">
        <v>3644</v>
      </c>
      <c r="K29">
        <v>3744</v>
      </c>
    </row>
    <row r="30" spans="1:11" s="12" customFormat="1" x14ac:dyDescent="0.3">
      <c r="A30" s="12" t="s">
        <v>32</v>
      </c>
      <c r="B30">
        <v>4151</v>
      </c>
      <c r="C30">
        <v>4476</v>
      </c>
      <c r="D30">
        <v>5214</v>
      </c>
      <c r="E30">
        <v>6054</v>
      </c>
      <c r="F30">
        <v>6748</v>
      </c>
      <c r="G30">
        <v>7995</v>
      </c>
      <c r="H30">
        <v>8879</v>
      </c>
      <c r="I30">
        <v>10120</v>
      </c>
      <c r="J30">
        <v>10277</v>
      </c>
      <c r="K30">
        <v>10649</v>
      </c>
    </row>
    <row r="31" spans="1:11" s="12" customFormat="1" x14ac:dyDescent="0.3">
      <c r="A31" s="12" t="s">
        <v>33</v>
      </c>
      <c r="B31">
        <v>3456</v>
      </c>
      <c r="C31">
        <v>3672</v>
      </c>
      <c r="D31">
        <v>4320</v>
      </c>
      <c r="E31">
        <v>4752</v>
      </c>
      <c r="F31">
        <v>5400</v>
      </c>
      <c r="G31">
        <v>9517.5</v>
      </c>
      <c r="H31">
        <v>7990</v>
      </c>
      <c r="I31">
        <v>9165</v>
      </c>
      <c r="J31">
        <v>9870</v>
      </c>
      <c r="K31">
        <v>12455</v>
      </c>
    </row>
    <row r="32" spans="1:11" s="12" customFormat="1" x14ac:dyDescent="0.3"/>
    <row r="33" spans="1:11" x14ac:dyDescent="0.3">
      <c r="A33" s="12"/>
    </row>
    <row r="34" spans="1:11" x14ac:dyDescent="0.3">
      <c r="A34" s="12"/>
    </row>
    <row r="35" spans="1:11" x14ac:dyDescent="0.3">
      <c r="A35" s="12"/>
    </row>
    <row r="36" spans="1:11" x14ac:dyDescent="0.3">
      <c r="A36" s="12"/>
    </row>
    <row r="37" spans="1:11" x14ac:dyDescent="0.3">
      <c r="A37" s="12"/>
    </row>
    <row r="38" spans="1:11" x14ac:dyDescent="0.3">
      <c r="A38" s="12"/>
    </row>
    <row r="39" spans="1:11" x14ac:dyDescent="0.3">
      <c r="A39" s="12"/>
    </row>
    <row r="40" spans="1:11" x14ac:dyDescent="0.3">
      <c r="A40" s="7" t="s">
        <v>34</v>
      </c>
    </row>
    <row r="41" spans="1:11" s="11" customFormat="1" x14ac:dyDescent="0.3">
      <c r="A41" s="9" t="s">
        <v>19</v>
      </c>
      <c r="B41" s="10">
        <v>45016</v>
      </c>
      <c r="C41" s="10">
        <v>45107</v>
      </c>
      <c r="D41" s="10">
        <v>45199</v>
      </c>
      <c r="E41" s="10">
        <v>45291</v>
      </c>
      <c r="F41" s="10">
        <v>45382</v>
      </c>
      <c r="G41" s="10">
        <v>45473</v>
      </c>
      <c r="H41" s="10">
        <v>45565</v>
      </c>
      <c r="I41" s="10">
        <v>45657</v>
      </c>
      <c r="J41" s="10">
        <v>45747</v>
      </c>
      <c r="K41" s="10">
        <v>45838</v>
      </c>
    </row>
    <row r="42" spans="1:11" s="12" customFormat="1" x14ac:dyDescent="0.3">
      <c r="A42" s="12" t="s">
        <v>20</v>
      </c>
      <c r="B42">
        <v>15215</v>
      </c>
      <c r="C42">
        <v>15496</v>
      </c>
      <c r="D42">
        <v>15623</v>
      </c>
      <c r="E42">
        <v>15567</v>
      </c>
      <c r="F42">
        <v>15210</v>
      </c>
      <c r="G42">
        <v>15707</v>
      </c>
      <c r="H42">
        <v>15926</v>
      </c>
      <c r="I42">
        <v>15818</v>
      </c>
      <c r="J42">
        <v>15670</v>
      </c>
      <c r="K42">
        <v>16514</v>
      </c>
    </row>
    <row r="43" spans="1:11" s="12" customFormat="1" x14ac:dyDescent="0.3">
      <c r="A43" s="12" t="s">
        <v>35</v>
      </c>
      <c r="B43">
        <v>11643</v>
      </c>
      <c r="C43">
        <v>11832</v>
      </c>
      <c r="D43">
        <v>11828</v>
      </c>
      <c r="E43">
        <v>11902</v>
      </c>
      <c r="F43">
        <v>11675</v>
      </c>
      <c r="G43">
        <v>11965</v>
      </c>
      <c r="H43">
        <v>12139</v>
      </c>
      <c r="I43">
        <v>12123</v>
      </c>
      <c r="J43">
        <v>12052</v>
      </c>
      <c r="K43">
        <v>12797</v>
      </c>
    </row>
    <row r="44" spans="1:11" s="12" customFormat="1" x14ac:dyDescent="0.3">
      <c r="A44" s="12" t="s">
        <v>28</v>
      </c>
      <c r="B44">
        <v>240</v>
      </c>
      <c r="C44">
        <v>146</v>
      </c>
      <c r="D44">
        <v>178</v>
      </c>
      <c r="E44">
        <v>184</v>
      </c>
      <c r="F44">
        <v>309</v>
      </c>
      <c r="G44">
        <v>209</v>
      </c>
      <c r="H44">
        <v>203</v>
      </c>
      <c r="I44">
        <v>740</v>
      </c>
      <c r="J44">
        <v>171</v>
      </c>
      <c r="K44">
        <v>74</v>
      </c>
    </row>
    <row r="45" spans="1:11" s="12" customFormat="1" x14ac:dyDescent="0.3">
      <c r="A45" s="12" t="s">
        <v>29</v>
      </c>
      <c r="B45">
        <v>291</v>
      </c>
      <c r="C45">
        <v>286</v>
      </c>
      <c r="D45">
        <v>297</v>
      </c>
      <c r="E45">
        <v>313</v>
      </c>
      <c r="F45">
        <v>320</v>
      </c>
      <c r="G45">
        <v>329</v>
      </c>
      <c r="H45">
        <v>338</v>
      </c>
      <c r="I45">
        <v>341</v>
      </c>
      <c r="J45">
        <v>347</v>
      </c>
      <c r="K45">
        <v>361</v>
      </c>
    </row>
    <row r="46" spans="1:11" s="12" customFormat="1" x14ac:dyDescent="0.3">
      <c r="A46" s="12" t="s">
        <v>3</v>
      </c>
      <c r="B46">
        <v>29</v>
      </c>
      <c r="C46">
        <v>50</v>
      </c>
      <c r="D46">
        <v>88</v>
      </c>
      <c r="E46">
        <v>91</v>
      </c>
      <c r="F46">
        <v>105</v>
      </c>
      <c r="G46">
        <v>93</v>
      </c>
      <c r="H46">
        <v>110</v>
      </c>
      <c r="I46">
        <v>112</v>
      </c>
      <c r="J46">
        <v>80</v>
      </c>
      <c r="K46">
        <v>127</v>
      </c>
    </row>
    <row r="47" spans="1:11" s="12" customFormat="1" x14ac:dyDescent="0.3">
      <c r="A47" s="12" t="s">
        <v>30</v>
      </c>
      <c r="B47">
        <v>3492</v>
      </c>
      <c r="C47">
        <v>3474</v>
      </c>
      <c r="D47">
        <v>3588</v>
      </c>
      <c r="E47">
        <v>3445</v>
      </c>
      <c r="F47">
        <v>3419</v>
      </c>
      <c r="G47">
        <v>3529</v>
      </c>
      <c r="H47">
        <v>3542</v>
      </c>
      <c r="I47">
        <v>3982</v>
      </c>
      <c r="J47">
        <v>3362</v>
      </c>
      <c r="K47">
        <v>3303</v>
      </c>
    </row>
    <row r="48" spans="1:11" s="12" customFormat="1" x14ac:dyDescent="0.3">
      <c r="A48" s="12" t="s">
        <v>31</v>
      </c>
      <c r="B48">
        <v>891</v>
      </c>
      <c r="C48">
        <v>918</v>
      </c>
      <c r="D48">
        <v>931</v>
      </c>
      <c r="E48">
        <v>937</v>
      </c>
      <c r="F48">
        <v>858</v>
      </c>
      <c r="G48">
        <v>917</v>
      </c>
      <c r="H48">
        <v>947</v>
      </c>
      <c r="I48">
        <v>993</v>
      </c>
      <c r="J48">
        <v>887</v>
      </c>
      <c r="K48">
        <v>535</v>
      </c>
    </row>
    <row r="49" spans="1:11" s="12" customFormat="1" x14ac:dyDescent="0.3">
      <c r="A49" s="12" t="s">
        <v>32</v>
      </c>
      <c r="B49">
        <v>2600</v>
      </c>
      <c r="C49">
        <v>2554</v>
      </c>
      <c r="D49">
        <v>2656</v>
      </c>
      <c r="E49">
        <v>2509</v>
      </c>
      <c r="F49">
        <v>2558</v>
      </c>
      <c r="G49">
        <v>2610</v>
      </c>
      <c r="H49">
        <v>2591</v>
      </c>
      <c r="I49">
        <v>2984</v>
      </c>
      <c r="J49">
        <v>2464</v>
      </c>
      <c r="K49">
        <v>2756</v>
      </c>
    </row>
    <row r="50" spans="1:11" x14ac:dyDescent="0.3">
      <c r="A50" s="12" t="s">
        <v>36</v>
      </c>
      <c r="B50">
        <v>3572</v>
      </c>
      <c r="C50">
        <v>3664</v>
      </c>
      <c r="D50">
        <v>3795</v>
      </c>
      <c r="E50">
        <v>3665</v>
      </c>
      <c r="F50">
        <v>3535</v>
      </c>
      <c r="G50">
        <v>3742</v>
      </c>
      <c r="H50">
        <v>3787</v>
      </c>
      <c r="I50">
        <v>3695</v>
      </c>
      <c r="J50">
        <v>3618</v>
      </c>
      <c r="K50">
        <v>3717</v>
      </c>
    </row>
    <row r="51" spans="1:11" x14ac:dyDescent="0.3">
      <c r="A51" s="12"/>
    </row>
    <row r="52" spans="1:11" x14ac:dyDescent="0.3">
      <c r="A52" s="12"/>
    </row>
    <row r="53" spans="1:11" x14ac:dyDescent="0.3">
      <c r="A53" s="12"/>
    </row>
    <row r="54" spans="1:11" x14ac:dyDescent="0.3">
      <c r="A54" s="12"/>
    </row>
    <row r="55" spans="1:11" x14ac:dyDescent="0.3">
      <c r="A55" s="7" t="s">
        <v>37</v>
      </c>
    </row>
    <row r="56" spans="1:11" s="11" customFormat="1" x14ac:dyDescent="0.3">
      <c r="A56" s="9" t="s">
        <v>19</v>
      </c>
      <c r="B56" s="10">
        <v>42460</v>
      </c>
      <c r="C56" s="10">
        <v>42825</v>
      </c>
      <c r="D56" s="10">
        <v>43190</v>
      </c>
      <c r="E56" s="10">
        <v>43555</v>
      </c>
      <c r="F56" s="10">
        <v>43921</v>
      </c>
      <c r="G56" s="10">
        <v>44286</v>
      </c>
      <c r="H56" s="10">
        <v>44651</v>
      </c>
      <c r="I56" s="10">
        <v>45016</v>
      </c>
      <c r="J56" s="10">
        <v>45382</v>
      </c>
      <c r="K56" s="10">
        <v>45747</v>
      </c>
    </row>
    <row r="57" spans="1:11" x14ac:dyDescent="0.3">
      <c r="A57" s="12" t="s">
        <v>38</v>
      </c>
      <c r="B57">
        <v>216</v>
      </c>
      <c r="C57">
        <v>216</v>
      </c>
      <c r="D57">
        <v>216</v>
      </c>
      <c r="E57">
        <v>216</v>
      </c>
      <c r="F57">
        <v>216</v>
      </c>
      <c r="G57">
        <v>235</v>
      </c>
      <c r="H57">
        <v>235</v>
      </c>
      <c r="I57">
        <v>235</v>
      </c>
      <c r="J57">
        <v>235</v>
      </c>
      <c r="K57">
        <v>235</v>
      </c>
    </row>
    <row r="58" spans="1:11" x14ac:dyDescent="0.3">
      <c r="A58" s="12" t="s">
        <v>39</v>
      </c>
      <c r="B58">
        <v>6357</v>
      </c>
      <c r="C58">
        <v>6528</v>
      </c>
      <c r="D58">
        <v>7065</v>
      </c>
      <c r="E58">
        <v>7651</v>
      </c>
      <c r="F58">
        <v>8013</v>
      </c>
      <c r="G58">
        <v>47439</v>
      </c>
      <c r="H58">
        <v>48826</v>
      </c>
      <c r="I58">
        <v>50069</v>
      </c>
      <c r="J58">
        <v>50983</v>
      </c>
      <c r="K58">
        <v>49167</v>
      </c>
    </row>
    <row r="59" spans="1:11" x14ac:dyDescent="0.3">
      <c r="A59" s="12" t="s">
        <v>40</v>
      </c>
      <c r="B59">
        <v>177</v>
      </c>
      <c r="C59">
        <v>277</v>
      </c>
      <c r="D59"/>
      <c r="E59">
        <v>99</v>
      </c>
      <c r="F59"/>
      <c r="G59"/>
      <c r="H59">
        <v>1043</v>
      </c>
      <c r="I59">
        <v>1219</v>
      </c>
      <c r="J59">
        <v>1484</v>
      </c>
      <c r="K59">
        <v>1648</v>
      </c>
    </row>
    <row r="60" spans="1:11" x14ac:dyDescent="0.3">
      <c r="A60" s="12" t="s">
        <v>41</v>
      </c>
      <c r="B60">
        <v>8043</v>
      </c>
      <c r="C60">
        <v>8685</v>
      </c>
      <c r="D60">
        <v>10581</v>
      </c>
      <c r="E60">
        <v>10663</v>
      </c>
      <c r="F60">
        <v>11924</v>
      </c>
      <c r="G60">
        <v>21066</v>
      </c>
      <c r="H60">
        <v>20402</v>
      </c>
      <c r="I60">
        <v>21554</v>
      </c>
      <c r="J60">
        <v>25787</v>
      </c>
      <c r="K60">
        <v>28813</v>
      </c>
    </row>
    <row r="61" spans="1:11" s="7" customFormat="1" x14ac:dyDescent="0.3">
      <c r="A61" s="7" t="s">
        <v>6</v>
      </c>
      <c r="B61">
        <v>14793</v>
      </c>
      <c r="C61">
        <v>15706</v>
      </c>
      <c r="D61">
        <v>17862</v>
      </c>
      <c r="E61">
        <v>18629</v>
      </c>
      <c r="F61">
        <v>20153</v>
      </c>
      <c r="G61">
        <v>68740</v>
      </c>
      <c r="H61">
        <v>70506</v>
      </c>
      <c r="I61">
        <v>73077</v>
      </c>
      <c r="J61">
        <v>78489</v>
      </c>
      <c r="K61">
        <v>79863</v>
      </c>
    </row>
    <row r="62" spans="1:11" x14ac:dyDescent="0.3">
      <c r="A62" s="12" t="s">
        <v>42</v>
      </c>
      <c r="B62">
        <v>3258</v>
      </c>
      <c r="C62">
        <v>4419</v>
      </c>
      <c r="D62">
        <v>4528</v>
      </c>
      <c r="E62">
        <v>4715</v>
      </c>
      <c r="F62">
        <v>5479</v>
      </c>
      <c r="G62">
        <v>51443</v>
      </c>
      <c r="H62">
        <v>51473</v>
      </c>
      <c r="I62">
        <v>52678</v>
      </c>
      <c r="J62">
        <v>53744</v>
      </c>
      <c r="K62">
        <v>54335</v>
      </c>
    </row>
    <row r="63" spans="1:11" x14ac:dyDescent="0.3">
      <c r="A63" s="12" t="s">
        <v>43</v>
      </c>
      <c r="B63">
        <v>408</v>
      </c>
      <c r="C63">
        <v>229</v>
      </c>
      <c r="D63">
        <v>461</v>
      </c>
      <c r="E63">
        <v>406</v>
      </c>
      <c r="F63">
        <v>597</v>
      </c>
      <c r="G63">
        <v>745</v>
      </c>
      <c r="H63">
        <v>1313</v>
      </c>
      <c r="I63">
        <v>1132</v>
      </c>
      <c r="J63">
        <v>1025</v>
      </c>
      <c r="K63">
        <v>1009</v>
      </c>
    </row>
    <row r="64" spans="1:11" x14ac:dyDescent="0.3">
      <c r="A64" s="12" t="s">
        <v>44</v>
      </c>
      <c r="B64">
        <v>2592</v>
      </c>
      <c r="C64">
        <v>3794</v>
      </c>
      <c r="D64">
        <v>2873</v>
      </c>
      <c r="E64">
        <v>2716</v>
      </c>
      <c r="F64">
        <v>1255</v>
      </c>
      <c r="G64">
        <v>2709</v>
      </c>
      <c r="H64">
        <v>3521</v>
      </c>
      <c r="I64">
        <v>2882</v>
      </c>
      <c r="J64">
        <v>4625</v>
      </c>
      <c r="K64">
        <v>3810</v>
      </c>
    </row>
    <row r="65" spans="1:11" x14ac:dyDescent="0.3">
      <c r="A65" s="12" t="s">
        <v>45</v>
      </c>
      <c r="B65">
        <v>8535</v>
      </c>
      <c r="C65">
        <v>7264</v>
      </c>
      <c r="D65">
        <v>10000</v>
      </c>
      <c r="E65">
        <v>10792</v>
      </c>
      <c r="F65">
        <v>12822</v>
      </c>
      <c r="G65">
        <v>13843</v>
      </c>
      <c r="H65">
        <v>14199</v>
      </c>
      <c r="I65">
        <v>16385</v>
      </c>
      <c r="J65">
        <v>19095</v>
      </c>
      <c r="K65">
        <v>20709</v>
      </c>
    </row>
    <row r="66" spans="1:11" s="7" customFormat="1" x14ac:dyDescent="0.3">
      <c r="A66" s="7" t="s">
        <v>6</v>
      </c>
      <c r="B66">
        <v>14793</v>
      </c>
      <c r="C66">
        <v>15706</v>
      </c>
      <c r="D66">
        <v>17862</v>
      </c>
      <c r="E66">
        <v>18629</v>
      </c>
      <c r="F66">
        <v>20153</v>
      </c>
      <c r="G66">
        <v>68740</v>
      </c>
      <c r="H66">
        <v>70506</v>
      </c>
      <c r="I66">
        <v>73077</v>
      </c>
      <c r="J66">
        <v>78489</v>
      </c>
      <c r="K66">
        <v>79863</v>
      </c>
    </row>
    <row r="67" spans="1:11" s="12" customFormat="1" x14ac:dyDescent="0.3">
      <c r="A67" s="12" t="s">
        <v>46</v>
      </c>
      <c r="B67">
        <v>1264</v>
      </c>
      <c r="C67">
        <v>1085</v>
      </c>
      <c r="D67">
        <v>1310</v>
      </c>
      <c r="E67">
        <v>1816</v>
      </c>
      <c r="F67">
        <v>1149</v>
      </c>
      <c r="G67">
        <v>1758</v>
      </c>
      <c r="H67">
        <v>2236</v>
      </c>
      <c r="I67">
        <v>3079</v>
      </c>
      <c r="J67">
        <v>2997</v>
      </c>
      <c r="K67">
        <v>3819</v>
      </c>
    </row>
    <row r="68" spans="1:11" x14ac:dyDescent="0.3">
      <c r="A68" s="12" t="s">
        <v>47</v>
      </c>
      <c r="B68">
        <v>2726</v>
      </c>
      <c r="C68">
        <v>2541</v>
      </c>
      <c r="D68">
        <v>2513</v>
      </c>
      <c r="E68">
        <v>2574</v>
      </c>
      <c r="F68">
        <v>2767</v>
      </c>
      <c r="G68">
        <v>3579</v>
      </c>
      <c r="H68">
        <v>4096</v>
      </c>
      <c r="I68">
        <v>4251</v>
      </c>
      <c r="J68">
        <v>4022</v>
      </c>
      <c r="K68">
        <v>4415</v>
      </c>
    </row>
    <row r="69" spans="1:11" x14ac:dyDescent="0.3">
      <c r="A69" s="8" t="s">
        <v>48</v>
      </c>
      <c r="B69">
        <v>3009</v>
      </c>
      <c r="C69">
        <v>1828</v>
      </c>
      <c r="D69">
        <v>3485</v>
      </c>
      <c r="E69">
        <v>3757</v>
      </c>
      <c r="F69">
        <v>5113</v>
      </c>
      <c r="G69">
        <v>4471</v>
      </c>
      <c r="H69">
        <v>3846</v>
      </c>
      <c r="I69">
        <v>4678</v>
      </c>
      <c r="J69">
        <v>7559</v>
      </c>
      <c r="K69">
        <v>7554</v>
      </c>
    </row>
    <row r="70" spans="1:11" x14ac:dyDescent="0.3">
      <c r="A70" s="8" t="s">
        <v>49</v>
      </c>
      <c r="B70">
        <v>2163936971</v>
      </c>
      <c r="C70">
        <v>2164349639</v>
      </c>
      <c r="D70">
        <v>2164528777</v>
      </c>
      <c r="E70">
        <v>2164704405</v>
      </c>
      <c r="F70">
        <v>2164704405</v>
      </c>
      <c r="G70">
        <v>2349567819</v>
      </c>
      <c r="H70">
        <v>2349591262</v>
      </c>
      <c r="I70">
        <v>2349591262</v>
      </c>
      <c r="J70">
        <v>2349591262</v>
      </c>
      <c r="K70">
        <v>2349591262</v>
      </c>
    </row>
    <row r="71" spans="1:11" x14ac:dyDescent="0.3">
      <c r="A71" s="8" t="s">
        <v>50</v>
      </c>
    </row>
    <row r="72" spans="1:11" x14ac:dyDescent="0.3">
      <c r="A72" s="8" t="s">
        <v>51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">
      <c r="A74" s="12"/>
    </row>
    <row r="75" spans="1:11" x14ac:dyDescent="0.3">
      <c r="A75" s="12"/>
    </row>
    <row r="76" spans="1:11" x14ac:dyDescent="0.3">
      <c r="A76" s="12"/>
    </row>
    <row r="77" spans="1:11" x14ac:dyDescent="0.3">
      <c r="A77" s="12"/>
    </row>
    <row r="78" spans="1:11" x14ac:dyDescent="0.3">
      <c r="A78" s="12"/>
    </row>
    <row r="79" spans="1:11" x14ac:dyDescent="0.3">
      <c r="A79" s="12"/>
    </row>
    <row r="80" spans="1:11" x14ac:dyDescent="0.3">
      <c r="A80" s="7" t="s">
        <v>52</v>
      </c>
    </row>
    <row r="81" spans="1:11" s="11" customFormat="1" x14ac:dyDescent="0.3">
      <c r="A81" s="9" t="s">
        <v>19</v>
      </c>
      <c r="B81" s="10">
        <v>42460</v>
      </c>
      <c r="C81" s="10">
        <v>42825</v>
      </c>
      <c r="D81" s="10">
        <v>43190</v>
      </c>
      <c r="E81" s="10">
        <v>43555</v>
      </c>
      <c r="F81" s="10">
        <v>43921</v>
      </c>
      <c r="G81" s="10">
        <v>44286</v>
      </c>
      <c r="H81" s="10">
        <v>44651</v>
      </c>
      <c r="I81" s="10">
        <v>45016</v>
      </c>
      <c r="J81" s="10">
        <v>45382</v>
      </c>
      <c r="K81" s="10">
        <v>45747</v>
      </c>
    </row>
    <row r="82" spans="1:11" s="7" customFormat="1" x14ac:dyDescent="0.3">
      <c r="A82" s="12" t="s">
        <v>53</v>
      </c>
      <c r="B82">
        <v>4171</v>
      </c>
      <c r="C82">
        <v>5185</v>
      </c>
      <c r="D82">
        <v>6059</v>
      </c>
      <c r="E82">
        <v>5800</v>
      </c>
      <c r="F82">
        <v>7623</v>
      </c>
      <c r="G82">
        <v>9163</v>
      </c>
      <c r="H82">
        <v>9048</v>
      </c>
      <c r="I82">
        <v>9991</v>
      </c>
      <c r="J82">
        <v>15469</v>
      </c>
      <c r="K82">
        <v>11886</v>
      </c>
    </row>
    <row r="83" spans="1:11" s="12" customFormat="1" x14ac:dyDescent="0.3">
      <c r="A83" s="12" t="s">
        <v>54</v>
      </c>
      <c r="B83">
        <v>-282</v>
      </c>
      <c r="C83">
        <v>-1173</v>
      </c>
      <c r="D83">
        <v>-1063</v>
      </c>
      <c r="E83">
        <v>-438</v>
      </c>
      <c r="F83">
        <v>1791</v>
      </c>
      <c r="G83">
        <v>-1228</v>
      </c>
      <c r="H83">
        <v>-1728</v>
      </c>
      <c r="I83">
        <v>-1484</v>
      </c>
      <c r="J83">
        <v>-5324</v>
      </c>
      <c r="K83">
        <v>6473</v>
      </c>
    </row>
    <row r="84" spans="1:11" s="12" customFormat="1" x14ac:dyDescent="0.3">
      <c r="A84" s="12" t="s">
        <v>55</v>
      </c>
      <c r="B84">
        <v>-3864</v>
      </c>
      <c r="C84">
        <v>-4214</v>
      </c>
      <c r="D84">
        <v>-4975</v>
      </c>
      <c r="E84">
        <v>-5390</v>
      </c>
      <c r="F84">
        <v>-6819</v>
      </c>
      <c r="G84">
        <v>-9309</v>
      </c>
      <c r="H84">
        <v>-8015</v>
      </c>
      <c r="I84">
        <v>-8953</v>
      </c>
      <c r="J84">
        <v>-10034</v>
      </c>
      <c r="K84">
        <v>-13101</v>
      </c>
    </row>
    <row r="85" spans="1:11" s="7" customFormat="1" x14ac:dyDescent="0.3">
      <c r="A85" s="12" t="s">
        <v>56</v>
      </c>
      <c r="B85">
        <v>25</v>
      </c>
      <c r="C85">
        <v>-202</v>
      </c>
      <c r="D85">
        <v>21</v>
      </c>
      <c r="E85">
        <v>-28</v>
      </c>
      <c r="F85">
        <v>2595</v>
      </c>
      <c r="G85">
        <v>-1374</v>
      </c>
      <c r="H85">
        <v>-695</v>
      </c>
      <c r="I85">
        <v>-446</v>
      </c>
      <c r="J85">
        <v>111</v>
      </c>
      <c r="K85">
        <v>5258</v>
      </c>
    </row>
    <row r="86" spans="1:11" x14ac:dyDescent="0.3">
      <c r="A86" s="12"/>
    </row>
    <row r="87" spans="1:11" x14ac:dyDescent="0.3">
      <c r="A87" s="12"/>
    </row>
    <row r="88" spans="1:11" x14ac:dyDescent="0.3">
      <c r="A88" s="12"/>
    </row>
    <row r="89" spans="1:11" x14ac:dyDescent="0.3">
      <c r="A89" s="12"/>
    </row>
    <row r="90" spans="1:11" s="7" customFormat="1" x14ac:dyDescent="0.3">
      <c r="A90" s="7" t="s">
        <v>57</v>
      </c>
      <c r="B90">
        <v>869.5</v>
      </c>
      <c r="C90">
        <v>911.75</v>
      </c>
      <c r="D90">
        <v>1333.35</v>
      </c>
      <c r="E90">
        <v>1706.8</v>
      </c>
      <c r="F90">
        <v>2298.5</v>
      </c>
      <c r="G90">
        <v>2431.5</v>
      </c>
      <c r="H90">
        <v>2048.65</v>
      </c>
      <c r="I90">
        <v>2560.35</v>
      </c>
      <c r="J90">
        <v>2264.35</v>
      </c>
      <c r="K90">
        <v>2258.85</v>
      </c>
    </row>
    <row r="92" spans="1:11" s="7" customFormat="1" x14ac:dyDescent="0.3">
      <c r="A92" s="7" t="s">
        <v>58</v>
      </c>
    </row>
    <row r="93" spans="1:11" x14ac:dyDescent="0.3">
      <c r="A93" s="8" t="s">
        <v>59</v>
      </c>
      <c r="B93" s="13">
        <v>216.39</v>
      </c>
      <c r="C93" s="13">
        <v>216.43</v>
      </c>
      <c r="D93" s="13">
        <v>216.45</v>
      </c>
      <c r="E93" s="13">
        <v>216.47</v>
      </c>
      <c r="F93" s="13">
        <v>216.48</v>
      </c>
      <c r="G93" s="13">
        <v>234.96</v>
      </c>
      <c r="H93" s="13">
        <v>234.96</v>
      </c>
      <c r="I93" s="13">
        <v>234.96</v>
      </c>
      <c r="J93" s="13">
        <v>234.96</v>
      </c>
      <c r="K93" s="13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CBF09C7-C5EE-4E16-9E17-C373ECACE7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Financials&gt; </vt:lpstr>
      <vt:lpstr>historical </vt:lpstr>
      <vt:lpstr>Ratio Analysis</vt:lpstr>
      <vt:lpstr>Forcasting</vt:lpstr>
      <vt:lpstr>Data&gt; </vt:lpstr>
      <vt:lpstr>cash flow data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2025-09-02T08:03:09Z</cp:lastPrinted>
  <dcterms:created xsi:type="dcterms:W3CDTF">2025-08-30T09:15:50Z</dcterms:created>
  <dcterms:modified xsi:type="dcterms:W3CDTF">2025-09-18T09:45:33Z</dcterms:modified>
</cp:coreProperties>
</file>